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65416" yWindow="65416" windowWidth="29040" windowHeight="15840" firstSheet="1" activeTab="1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'CDV_PROY_BT'!$A$1:$N$407</definedName>
    <definedName name="_xlnm.Print_Area" localSheetId="2">'CDV_PROY_MT'!$A$1:$N$117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81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40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40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40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40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40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198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198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198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198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198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256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56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56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56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56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14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14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14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14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14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37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37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37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37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37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  <comment ref="A81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81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81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81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<sst xmlns="http://schemas.openxmlformats.org/spreadsheetml/2006/main" count="1660" uniqueCount="223">
  <si>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</si>
  <si>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</si>
  <si>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</si>
  <si>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</si>
  <si>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</si>
  <si>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</si>
  <si>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</si>
  <si>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</si>
  <si>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</si>
  <si>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</si>
  <si>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</si>
  <si>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</si>
  <si>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</si>
  <si>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</si>
  <si>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</si>
  <si>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</si>
  <si>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</si>
  <si>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</si>
  <si>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</si>
  <si>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</si>
  <si>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</si>
  <si>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</si>
  <si>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</si>
  <si>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</si>
  <si>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</si>
  <si>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</si>
  <si>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</si>
  <si>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</si>
  <si>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</si>
  <si>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</si>
  <si>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</si>
  <si>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</si>
  <si>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</si>
  <si>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</si>
  <si>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</si>
  <si>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</si>
  <si>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</si>
  <si>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</si>
  <si>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</si>
  <si>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</si>
  <si>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</si>
  <si>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</si>
  <si>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</si>
  <si>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</si>
  <si>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</si>
  <si>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</si>
  <si>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</si>
  <si>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</si>
  <si>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</si>
  <si>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</si>
  <si>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</si>
  <si>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</si>
  <si>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</si>
  <si>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</si>
  <si>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</si>
  <si>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</si>
  <si>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</si>
  <si>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</si>
  <si>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</si>
  <si>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</si>
  <si>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</si>
  <si>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</si>
  <si>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</si>
  <si>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</si>
  <si>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</si>
  <si>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</si>
  <si>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</si>
  <si>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</si>
  <si>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</si>
  <si>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</si>
  <si>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</si>
  <si>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</si>
  <si>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</si>
  <si>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</si>
  <si>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</si>
  <si>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</si>
  <si>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</si>
  <si>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</si>
  <si>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</si>
  <si>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</si>
  <si>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</si>
  <si>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</si>
  <si>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</si>
  <si>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</si>
  <si>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</si>
  <si>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</si>
  <si>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</si>
  <si>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</si>
  <si>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</si>
  <si>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</si>
  <si>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</si>
  <si>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</si>
  <si>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</si>
  <si>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</si>
  <si>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</si>
  <si>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</si>
  <si>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</si>
  <si>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</si>
  <si>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</si>
  <si>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</si>
  <si>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</si>
  <si>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</si>
  <si>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</si>
  <si>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</si>
  <si>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</si>
  <si>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</si>
  <si>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</si>
  <si>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</si>
  <si>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</si>
  <si>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</si>
  <si>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</si>
  <si>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            DIRECCION TECNICA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</si>
  <si>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</si>
  <si>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</si>
  <si>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</si>
  <si>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</si>
  <si>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</si>
  <si>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</si>
  <si>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</si>
  <si>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</si>
  <si>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</si>
  <si>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</si>
  <si>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</si>
  <si>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</si>
  <si>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</si>
  <si>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</si>
  <si>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</si>
  <si>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</si>
  <si>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P9</t>
  </si>
  <si>
    <t>T3</t>
  </si>
  <si>
    <t>P18</t>
  </si>
  <si>
    <t>P16</t>
  </si>
  <si>
    <t>T4</t>
  </si>
  <si>
    <t>P19</t>
  </si>
  <si>
    <t>T5</t>
  </si>
  <si>
    <t>P29</t>
  </si>
  <si>
    <t>P8</t>
  </si>
  <si>
    <t>P7</t>
  </si>
  <si>
    <t>T6</t>
  </si>
  <si>
    <t>P31</t>
  </si>
  <si>
    <t>P30</t>
  </si>
  <si>
    <t>P32</t>
  </si>
  <si>
    <t>P33</t>
  </si>
  <si>
    <t>T7</t>
  </si>
  <si>
    <t>P25</t>
  </si>
  <si>
    <t>P23</t>
  </si>
  <si>
    <t>P22</t>
  </si>
  <si>
    <t>P26</t>
  </si>
  <si>
    <t>P27</t>
  </si>
  <si>
    <t>P36</t>
  </si>
  <si>
    <t>P37</t>
  </si>
  <si>
    <t>P38</t>
  </si>
  <si>
    <t>P35</t>
  </si>
  <si>
    <t>P34</t>
  </si>
  <si>
    <t>P40</t>
  </si>
  <si>
    <t>P39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</si>
  <si>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</si>
  <si>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</si>
  <si>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</si>
  <si>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</si>
  <si>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</si>
  <si>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</si>
  <si>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</si>
  <si>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</si>
  <si>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</si>
  <si>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</si>
  <si>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</si>
  <si>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</si>
  <si>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</si>
  <si>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</si>
  <si>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</si>
  <si>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</si>
  <si>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</si>
  <si>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</si>
  <si>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</si>
  <si>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</si>
  <si>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</si>
  <si>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</si>
  <si>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</si>
  <si>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</si>
  <si>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</si>
  <si>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</si>
  <si>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</si>
  <si>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</si>
  <si>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P24</t>
  </si>
  <si>
    <t>kva x Km</t>
  </si>
  <si>
    <t>CDV-ACUMULADO:</t>
  </si>
  <si>
    <t>T8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</si>
  <si>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</si>
  <si>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</si>
  <si>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</si>
  <si>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</si>
  <si>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</si>
  <si>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</si>
  <si>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</si>
  <si>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4 / 3 DE 8</t>
  </si>
  <si>
    <t>4 / 4 DE 8</t>
  </si>
  <si>
    <t>4 / 5 DE 8</t>
  </si>
  <si>
    <t>4 / 6 DE 8</t>
  </si>
  <si>
    <t>4 / 7 DE 8</t>
  </si>
  <si>
    <t>4 / 8 DE 8</t>
  </si>
  <si>
    <t>P20</t>
  </si>
  <si>
    <t>P28</t>
  </si>
  <si>
    <t>4 / 2 DE 2</t>
  </si>
  <si>
    <t xml:space="preserve">   JEFATURA DE PLANIFICACION</t>
  </si>
  <si>
    <t>Jefatura de Planificación</t>
  </si>
  <si>
    <t>P3</t>
  </si>
  <si>
    <t>P2</t>
  </si>
  <si>
    <t>P4</t>
  </si>
  <si>
    <t>P6</t>
  </si>
  <si>
    <t>INFIERNILLO</t>
  </si>
  <si>
    <t>T2</t>
  </si>
  <si>
    <t>P47</t>
  </si>
  <si>
    <t>3 / 1 DE 2</t>
  </si>
  <si>
    <t>3 / 2 DE 2</t>
  </si>
  <si>
    <t>Pe</t>
  </si>
  <si>
    <t>P0</t>
  </si>
  <si>
    <t>P1</t>
  </si>
  <si>
    <t>P10</t>
  </si>
  <si>
    <t>P11</t>
  </si>
  <si>
    <t>P12</t>
  </si>
  <si>
    <t>P13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</si>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</sst>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hidden="1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5" fillId="6" borderId="3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47" xfId="0" applyNumberFormat="1" applyFont="1" applyFill="1" applyBorder="1" applyAlignment="1" applyProtection="1">
      <alignment horizontal="center"/>
      <protection hidden="1" locked="0"/>
    </xf>
    <xf numFmtId="3" fontId="5" fillId="6" borderId="48" xfId="0" applyNumberFormat="1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1" fillId="6" borderId="49" xfId="0" applyFont="1" applyFill="1" applyBorder="1" applyAlignment="1" applyProtection="1">
      <alignment horizontal="center"/>
      <protection hidden="1" locked="0"/>
    </xf>
    <xf numFmtId="0" fontId="1" fillId="6" borderId="50" xfId="0" applyFont="1" applyFill="1" applyBorder="1" applyAlignment="1" applyProtection="1">
      <alignment horizontal="center"/>
      <protection hidden="1" locked="0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8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85725</xdr:colOff>
      <xdr:row>70</xdr:row>
      <xdr:rowOff>47625</xdr:rowOff>
    </xdr:from>
    <xdr:to>
      <xdr:col>2</xdr:col>
      <xdr:colOff>333375</xdr:colOff>
      <xdr:row>70</xdr:row>
      <xdr:rowOff>123825</xdr:rowOff>
    </xdr:to>
    <xdr:sp macro="" textlink="">
      <xdr:nvSpPr>
        <xdr:cNvPr id="21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23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25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77</xdr:row>
      <xdr:rowOff>66675</xdr:rowOff>
    </xdr:from>
    <xdr:to>
      <xdr:col>12</xdr:col>
      <xdr:colOff>647700</xdr:colOff>
      <xdr:row>77</xdr:row>
      <xdr:rowOff>142875</xdr:rowOff>
    </xdr:to>
    <xdr:sp macro="" textlink="">
      <xdr:nvSpPr>
        <xdr:cNvPr id="28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129</xdr:row>
      <xdr:rowOff>47625</xdr:rowOff>
    </xdr:from>
    <xdr:to>
      <xdr:col>2</xdr:col>
      <xdr:colOff>333375</xdr:colOff>
      <xdr:row>129</xdr:row>
      <xdr:rowOff>123825</xdr:rowOff>
    </xdr:to>
    <xdr:sp macro="" textlink="">
      <xdr:nvSpPr>
        <xdr:cNvPr id="30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130</xdr:row>
      <xdr:rowOff>47625</xdr:rowOff>
    </xdr:from>
    <xdr:to>
      <xdr:col>2</xdr:col>
      <xdr:colOff>333375</xdr:colOff>
      <xdr:row>130</xdr:row>
      <xdr:rowOff>123825</xdr:rowOff>
    </xdr:to>
    <xdr:sp macro="" textlink="">
      <xdr:nvSpPr>
        <xdr:cNvPr id="31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131</xdr:row>
      <xdr:rowOff>47625</xdr:rowOff>
    </xdr:from>
    <xdr:to>
      <xdr:col>2</xdr:col>
      <xdr:colOff>333375</xdr:colOff>
      <xdr:row>131</xdr:row>
      <xdr:rowOff>123825</xdr:rowOff>
    </xdr:to>
    <xdr:sp macro="" textlink="">
      <xdr:nvSpPr>
        <xdr:cNvPr id="32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125</xdr:row>
      <xdr:rowOff>28575</xdr:rowOff>
    </xdr:from>
    <xdr:to>
      <xdr:col>2</xdr:col>
      <xdr:colOff>323850</xdr:colOff>
      <xdr:row>125</xdr:row>
      <xdr:rowOff>142875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127</xdr:row>
      <xdr:rowOff>66675</xdr:rowOff>
    </xdr:from>
    <xdr:to>
      <xdr:col>2</xdr:col>
      <xdr:colOff>323850</xdr:colOff>
      <xdr:row>127</xdr:row>
      <xdr:rowOff>142875</xdr:rowOff>
    </xdr:to>
    <xdr:sp macro="" textlink="">
      <xdr:nvSpPr>
        <xdr:cNvPr id="34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127</xdr:row>
      <xdr:rowOff>95250</xdr:rowOff>
    </xdr:from>
    <xdr:to>
      <xdr:col>12</xdr:col>
      <xdr:colOff>476250</xdr:colOff>
      <xdr:row>127</xdr:row>
      <xdr:rowOff>171450</xdr:rowOff>
    </xdr:to>
    <xdr:sp macro="" textlink="">
      <xdr:nvSpPr>
        <xdr:cNvPr id="3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123</xdr:row>
      <xdr:rowOff>47625</xdr:rowOff>
    </xdr:from>
    <xdr:to>
      <xdr:col>2</xdr:col>
      <xdr:colOff>361950</xdr:colOff>
      <xdr:row>123</xdr:row>
      <xdr:rowOff>152400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136</xdr:row>
      <xdr:rowOff>66675</xdr:rowOff>
    </xdr:from>
    <xdr:to>
      <xdr:col>12</xdr:col>
      <xdr:colOff>647700</xdr:colOff>
      <xdr:row>136</xdr:row>
      <xdr:rowOff>142875</xdr:rowOff>
    </xdr:to>
    <xdr:sp macro="" textlink="">
      <xdr:nvSpPr>
        <xdr:cNvPr id="37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187</xdr:row>
      <xdr:rowOff>47625</xdr:rowOff>
    </xdr:from>
    <xdr:to>
      <xdr:col>2</xdr:col>
      <xdr:colOff>333375</xdr:colOff>
      <xdr:row>187</xdr:row>
      <xdr:rowOff>123825</xdr:rowOff>
    </xdr:to>
    <xdr:sp macro="" textlink="">
      <xdr:nvSpPr>
        <xdr:cNvPr id="39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188</xdr:row>
      <xdr:rowOff>47625</xdr:rowOff>
    </xdr:from>
    <xdr:to>
      <xdr:col>2</xdr:col>
      <xdr:colOff>333375</xdr:colOff>
      <xdr:row>188</xdr:row>
      <xdr:rowOff>123825</xdr:rowOff>
    </xdr:to>
    <xdr:sp macro="" textlink="">
      <xdr:nvSpPr>
        <xdr:cNvPr id="40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189</xdr:row>
      <xdr:rowOff>47625</xdr:rowOff>
    </xdr:from>
    <xdr:to>
      <xdr:col>2</xdr:col>
      <xdr:colOff>333375</xdr:colOff>
      <xdr:row>189</xdr:row>
      <xdr:rowOff>123825</xdr:rowOff>
    </xdr:to>
    <xdr:sp macro="" textlink="">
      <xdr:nvSpPr>
        <xdr:cNvPr id="41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183</xdr:row>
      <xdr:rowOff>28575</xdr:rowOff>
    </xdr:from>
    <xdr:to>
      <xdr:col>2</xdr:col>
      <xdr:colOff>323850</xdr:colOff>
      <xdr:row>183</xdr:row>
      <xdr:rowOff>142875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185</xdr:row>
      <xdr:rowOff>66675</xdr:rowOff>
    </xdr:from>
    <xdr:to>
      <xdr:col>2</xdr:col>
      <xdr:colOff>323850</xdr:colOff>
      <xdr:row>185</xdr:row>
      <xdr:rowOff>142875</xdr:rowOff>
    </xdr:to>
    <xdr:sp macro="" textlink="">
      <xdr:nvSpPr>
        <xdr:cNvPr id="43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185</xdr:row>
      <xdr:rowOff>76200</xdr:rowOff>
    </xdr:from>
    <xdr:to>
      <xdr:col>12</xdr:col>
      <xdr:colOff>476250</xdr:colOff>
      <xdr:row>185</xdr:row>
      <xdr:rowOff>152400</xdr:rowOff>
    </xdr:to>
    <xdr:sp macro="" textlink="">
      <xdr:nvSpPr>
        <xdr:cNvPr id="44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181</xdr:row>
      <xdr:rowOff>47625</xdr:rowOff>
    </xdr:from>
    <xdr:to>
      <xdr:col>2</xdr:col>
      <xdr:colOff>361950</xdr:colOff>
      <xdr:row>181</xdr:row>
      <xdr:rowOff>152400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194</xdr:row>
      <xdr:rowOff>66675</xdr:rowOff>
    </xdr:from>
    <xdr:to>
      <xdr:col>12</xdr:col>
      <xdr:colOff>647700</xdr:colOff>
      <xdr:row>194</xdr:row>
      <xdr:rowOff>142875</xdr:rowOff>
    </xdr:to>
    <xdr:sp macro="" textlink="">
      <xdr:nvSpPr>
        <xdr:cNvPr id="46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245</xdr:row>
      <xdr:rowOff>47625</xdr:rowOff>
    </xdr:from>
    <xdr:to>
      <xdr:col>2</xdr:col>
      <xdr:colOff>333375</xdr:colOff>
      <xdr:row>245</xdr:row>
      <xdr:rowOff>123825</xdr:rowOff>
    </xdr:to>
    <xdr:sp macro="" textlink="">
      <xdr:nvSpPr>
        <xdr:cNvPr id="48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246</xdr:row>
      <xdr:rowOff>47625</xdr:rowOff>
    </xdr:from>
    <xdr:to>
      <xdr:col>2</xdr:col>
      <xdr:colOff>333375</xdr:colOff>
      <xdr:row>246</xdr:row>
      <xdr:rowOff>123825</xdr:rowOff>
    </xdr:to>
    <xdr:sp macro="" textlink="">
      <xdr:nvSpPr>
        <xdr:cNvPr id="49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247</xdr:row>
      <xdr:rowOff>47625</xdr:rowOff>
    </xdr:from>
    <xdr:to>
      <xdr:col>2</xdr:col>
      <xdr:colOff>333375</xdr:colOff>
      <xdr:row>247</xdr:row>
      <xdr:rowOff>123825</xdr:rowOff>
    </xdr:to>
    <xdr:sp macro="" textlink="">
      <xdr:nvSpPr>
        <xdr:cNvPr id="50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241</xdr:row>
      <xdr:rowOff>28575</xdr:rowOff>
    </xdr:from>
    <xdr:to>
      <xdr:col>2</xdr:col>
      <xdr:colOff>323850</xdr:colOff>
      <xdr:row>241</xdr:row>
      <xdr:rowOff>142875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243</xdr:row>
      <xdr:rowOff>66675</xdr:rowOff>
    </xdr:from>
    <xdr:to>
      <xdr:col>2</xdr:col>
      <xdr:colOff>323850</xdr:colOff>
      <xdr:row>243</xdr:row>
      <xdr:rowOff>142875</xdr:rowOff>
    </xdr:to>
    <xdr:sp macro="" textlink="">
      <xdr:nvSpPr>
        <xdr:cNvPr id="52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243</xdr:row>
      <xdr:rowOff>95250</xdr:rowOff>
    </xdr:from>
    <xdr:to>
      <xdr:col>12</xdr:col>
      <xdr:colOff>476250</xdr:colOff>
      <xdr:row>243</xdr:row>
      <xdr:rowOff>171450</xdr:rowOff>
    </xdr:to>
    <xdr:sp macro="" textlink="">
      <xdr:nvSpPr>
        <xdr:cNvPr id="53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239</xdr:row>
      <xdr:rowOff>47625</xdr:rowOff>
    </xdr:from>
    <xdr:to>
      <xdr:col>2</xdr:col>
      <xdr:colOff>361950</xdr:colOff>
      <xdr:row>239</xdr:row>
      <xdr:rowOff>152400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252</xdr:row>
      <xdr:rowOff>66675</xdr:rowOff>
    </xdr:from>
    <xdr:to>
      <xdr:col>12</xdr:col>
      <xdr:colOff>647700</xdr:colOff>
      <xdr:row>252</xdr:row>
      <xdr:rowOff>142875</xdr:rowOff>
    </xdr:to>
    <xdr:sp macro="" textlink="">
      <xdr:nvSpPr>
        <xdr:cNvPr id="55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303</xdr:row>
      <xdr:rowOff>47625</xdr:rowOff>
    </xdr:from>
    <xdr:to>
      <xdr:col>2</xdr:col>
      <xdr:colOff>333375</xdr:colOff>
      <xdr:row>303</xdr:row>
      <xdr:rowOff>123825</xdr:rowOff>
    </xdr:to>
    <xdr:sp macro="" textlink="">
      <xdr:nvSpPr>
        <xdr:cNvPr id="57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304</xdr:row>
      <xdr:rowOff>47625</xdr:rowOff>
    </xdr:from>
    <xdr:to>
      <xdr:col>2</xdr:col>
      <xdr:colOff>333375</xdr:colOff>
      <xdr:row>304</xdr:row>
      <xdr:rowOff>123825</xdr:rowOff>
    </xdr:to>
    <xdr:sp macro="" textlink="">
      <xdr:nvSpPr>
        <xdr:cNvPr id="58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305</xdr:row>
      <xdr:rowOff>47625</xdr:rowOff>
    </xdr:from>
    <xdr:to>
      <xdr:col>2</xdr:col>
      <xdr:colOff>333375</xdr:colOff>
      <xdr:row>305</xdr:row>
      <xdr:rowOff>123825</xdr:rowOff>
    </xdr:to>
    <xdr:sp macro="" textlink="">
      <xdr:nvSpPr>
        <xdr:cNvPr id="59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299</xdr:row>
      <xdr:rowOff>28575</xdr:rowOff>
    </xdr:from>
    <xdr:to>
      <xdr:col>2</xdr:col>
      <xdr:colOff>323850</xdr:colOff>
      <xdr:row>299</xdr:row>
      <xdr:rowOff>142875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301</xdr:row>
      <xdr:rowOff>66675</xdr:rowOff>
    </xdr:from>
    <xdr:to>
      <xdr:col>2</xdr:col>
      <xdr:colOff>323850</xdr:colOff>
      <xdr:row>301</xdr:row>
      <xdr:rowOff>142875</xdr:rowOff>
    </xdr:to>
    <xdr:sp macro="" textlink="">
      <xdr:nvSpPr>
        <xdr:cNvPr id="61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301</xdr:row>
      <xdr:rowOff>85725</xdr:rowOff>
    </xdr:from>
    <xdr:to>
      <xdr:col>12</xdr:col>
      <xdr:colOff>476250</xdr:colOff>
      <xdr:row>301</xdr:row>
      <xdr:rowOff>161925</xdr:rowOff>
    </xdr:to>
    <xdr:sp macro="" textlink="">
      <xdr:nvSpPr>
        <xdr:cNvPr id="62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297</xdr:row>
      <xdr:rowOff>47625</xdr:rowOff>
    </xdr:from>
    <xdr:to>
      <xdr:col>2</xdr:col>
      <xdr:colOff>361950</xdr:colOff>
      <xdr:row>297</xdr:row>
      <xdr:rowOff>152400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310</xdr:row>
      <xdr:rowOff>66675</xdr:rowOff>
    </xdr:from>
    <xdr:to>
      <xdr:col>12</xdr:col>
      <xdr:colOff>647700</xdr:colOff>
      <xdr:row>310</xdr:row>
      <xdr:rowOff>142875</xdr:rowOff>
    </xdr:to>
    <xdr:sp macro="" textlink="">
      <xdr:nvSpPr>
        <xdr:cNvPr id="64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361</xdr:row>
      <xdr:rowOff>47625</xdr:rowOff>
    </xdr:from>
    <xdr:to>
      <xdr:col>2</xdr:col>
      <xdr:colOff>333375</xdr:colOff>
      <xdr:row>361</xdr:row>
      <xdr:rowOff>123825</xdr:rowOff>
    </xdr:to>
    <xdr:sp macro="" textlink="">
      <xdr:nvSpPr>
        <xdr:cNvPr id="66" name="AutoShape 20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362</xdr:row>
      <xdr:rowOff>47625</xdr:rowOff>
    </xdr:from>
    <xdr:to>
      <xdr:col>2</xdr:col>
      <xdr:colOff>333375</xdr:colOff>
      <xdr:row>362</xdr:row>
      <xdr:rowOff>123825</xdr:rowOff>
    </xdr:to>
    <xdr:sp macro="" textlink="">
      <xdr:nvSpPr>
        <xdr:cNvPr id="67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363</xdr:row>
      <xdr:rowOff>47625</xdr:rowOff>
    </xdr:from>
    <xdr:to>
      <xdr:col>2</xdr:col>
      <xdr:colOff>333375</xdr:colOff>
      <xdr:row>363</xdr:row>
      <xdr:rowOff>123825</xdr:rowOff>
    </xdr:to>
    <xdr:sp macro="" textlink="">
      <xdr:nvSpPr>
        <xdr:cNvPr id="68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357</xdr:row>
      <xdr:rowOff>28575</xdr:rowOff>
    </xdr:from>
    <xdr:to>
      <xdr:col>2</xdr:col>
      <xdr:colOff>323850</xdr:colOff>
      <xdr:row>357</xdr:row>
      <xdr:rowOff>142875</xdr:rowOff>
    </xdr:to>
    <xdr:sp macro="" textlink="">
      <xdr:nvSpPr>
        <xdr:cNvPr id="69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359</xdr:row>
      <xdr:rowOff>66675</xdr:rowOff>
    </xdr:from>
    <xdr:to>
      <xdr:col>2</xdr:col>
      <xdr:colOff>323850</xdr:colOff>
      <xdr:row>359</xdr:row>
      <xdr:rowOff>142875</xdr:rowOff>
    </xdr:to>
    <xdr:sp macro="" textlink="">
      <xdr:nvSpPr>
        <xdr:cNvPr id="70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359</xdr:row>
      <xdr:rowOff>95250</xdr:rowOff>
    </xdr:from>
    <xdr:to>
      <xdr:col>12</xdr:col>
      <xdr:colOff>476250</xdr:colOff>
      <xdr:row>359</xdr:row>
      <xdr:rowOff>171450</xdr:rowOff>
    </xdr:to>
    <xdr:sp macro="" textlink="">
      <xdr:nvSpPr>
        <xdr:cNvPr id="7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355</xdr:row>
      <xdr:rowOff>47625</xdr:rowOff>
    </xdr:from>
    <xdr:to>
      <xdr:col>2</xdr:col>
      <xdr:colOff>361950</xdr:colOff>
      <xdr:row>355</xdr:row>
      <xdr:rowOff>152400</xdr:rowOff>
    </xdr:to>
    <xdr:sp macro="" textlink="">
      <xdr:nvSpPr>
        <xdr:cNvPr id="72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368</xdr:row>
      <xdr:rowOff>66675</xdr:rowOff>
    </xdr:from>
    <xdr:to>
      <xdr:col>12</xdr:col>
      <xdr:colOff>647700</xdr:colOff>
      <xdr:row>368</xdr:row>
      <xdr:rowOff>142875</xdr:rowOff>
    </xdr:to>
    <xdr:sp macro="" textlink="">
      <xdr:nvSpPr>
        <xdr:cNvPr id="73" name="AutoShape 25"/>
        <xdr:cNvSpPr>
          <a:spLocks noChangeArrowheads="1"/>
        </xdr:cNvSpPr>
      </xdr:nvSpPr>
      <xdr:spPr bwMode="auto">
        <a:xfrm>
          <a:off x="84867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67</xdr:row>
      <xdr:rowOff>76200</xdr:rowOff>
    </xdr:from>
    <xdr:to>
      <xdr:col>12</xdr:col>
      <xdr:colOff>476250</xdr:colOff>
      <xdr:row>67</xdr:row>
      <xdr:rowOff>152400</xdr:rowOff>
    </xdr:to>
    <xdr:sp macro="" textlink="">
      <xdr:nvSpPr>
        <xdr:cNvPr id="9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69</xdr:row>
      <xdr:rowOff>76200</xdr:rowOff>
    </xdr:from>
    <xdr:to>
      <xdr:col>12</xdr:col>
      <xdr:colOff>476250</xdr:colOff>
      <xdr:row>69</xdr:row>
      <xdr:rowOff>152400</xdr:rowOff>
    </xdr:to>
    <xdr:sp macro="" textlink="">
      <xdr:nvSpPr>
        <xdr:cNvPr id="9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66</xdr:row>
      <xdr:rowOff>76200</xdr:rowOff>
    </xdr:from>
    <xdr:to>
      <xdr:col>12</xdr:col>
      <xdr:colOff>523875</xdr:colOff>
      <xdr:row>66</xdr:row>
      <xdr:rowOff>152400</xdr:rowOff>
    </xdr:to>
    <xdr:sp macro="" textlink="">
      <xdr:nvSpPr>
        <xdr:cNvPr id="92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114300</xdr:rowOff>
    </xdr:from>
    <xdr:to>
      <xdr:col>12</xdr:col>
      <xdr:colOff>476250</xdr:colOff>
      <xdr:row>68</xdr:row>
      <xdr:rowOff>190500</xdr:rowOff>
    </xdr:to>
    <xdr:sp macro="" textlink="">
      <xdr:nvSpPr>
        <xdr:cNvPr id="93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66</xdr:row>
      <xdr:rowOff>76200</xdr:rowOff>
    </xdr:from>
    <xdr:to>
      <xdr:col>12</xdr:col>
      <xdr:colOff>523875</xdr:colOff>
      <xdr:row>66</xdr:row>
      <xdr:rowOff>152400</xdr:rowOff>
    </xdr:to>
    <xdr:sp macro="" textlink="">
      <xdr:nvSpPr>
        <xdr:cNvPr id="96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126</xdr:row>
      <xdr:rowOff>76200</xdr:rowOff>
    </xdr:from>
    <xdr:to>
      <xdr:col>12</xdr:col>
      <xdr:colOff>476250</xdr:colOff>
      <xdr:row>126</xdr:row>
      <xdr:rowOff>152400</xdr:rowOff>
    </xdr:to>
    <xdr:sp macro="" textlink="">
      <xdr:nvSpPr>
        <xdr:cNvPr id="97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128</xdr:row>
      <xdr:rowOff>76200</xdr:rowOff>
    </xdr:from>
    <xdr:to>
      <xdr:col>12</xdr:col>
      <xdr:colOff>476250</xdr:colOff>
      <xdr:row>128</xdr:row>
      <xdr:rowOff>152400</xdr:rowOff>
    </xdr:to>
    <xdr:sp macro="" textlink="">
      <xdr:nvSpPr>
        <xdr:cNvPr id="98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125</xdr:row>
      <xdr:rowOff>76200</xdr:rowOff>
    </xdr:from>
    <xdr:to>
      <xdr:col>12</xdr:col>
      <xdr:colOff>523875</xdr:colOff>
      <xdr:row>125</xdr:row>
      <xdr:rowOff>152400</xdr:rowOff>
    </xdr:to>
    <xdr:sp macro="" textlink="">
      <xdr:nvSpPr>
        <xdr:cNvPr id="99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125</xdr:row>
      <xdr:rowOff>76200</xdr:rowOff>
    </xdr:from>
    <xdr:to>
      <xdr:col>12</xdr:col>
      <xdr:colOff>523875</xdr:colOff>
      <xdr:row>125</xdr:row>
      <xdr:rowOff>152400</xdr:rowOff>
    </xdr:to>
    <xdr:sp macro="" textlink="">
      <xdr:nvSpPr>
        <xdr:cNvPr id="101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184</xdr:row>
      <xdr:rowOff>76200</xdr:rowOff>
    </xdr:from>
    <xdr:to>
      <xdr:col>12</xdr:col>
      <xdr:colOff>476250</xdr:colOff>
      <xdr:row>184</xdr:row>
      <xdr:rowOff>152400</xdr:rowOff>
    </xdr:to>
    <xdr:sp macro="" textlink="">
      <xdr:nvSpPr>
        <xdr:cNvPr id="12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186</xdr:row>
      <xdr:rowOff>76200</xdr:rowOff>
    </xdr:from>
    <xdr:to>
      <xdr:col>12</xdr:col>
      <xdr:colOff>476250</xdr:colOff>
      <xdr:row>186</xdr:row>
      <xdr:rowOff>152400</xdr:rowOff>
    </xdr:to>
    <xdr:sp macro="" textlink="">
      <xdr:nvSpPr>
        <xdr:cNvPr id="12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183</xdr:row>
      <xdr:rowOff>76200</xdr:rowOff>
    </xdr:from>
    <xdr:to>
      <xdr:col>12</xdr:col>
      <xdr:colOff>523875</xdr:colOff>
      <xdr:row>183</xdr:row>
      <xdr:rowOff>152400</xdr:rowOff>
    </xdr:to>
    <xdr:sp macro="" textlink="">
      <xdr:nvSpPr>
        <xdr:cNvPr id="122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183</xdr:row>
      <xdr:rowOff>76200</xdr:rowOff>
    </xdr:from>
    <xdr:to>
      <xdr:col>12</xdr:col>
      <xdr:colOff>523875</xdr:colOff>
      <xdr:row>183</xdr:row>
      <xdr:rowOff>152400</xdr:rowOff>
    </xdr:to>
    <xdr:sp macro="" textlink="">
      <xdr:nvSpPr>
        <xdr:cNvPr id="123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242</xdr:row>
      <xdr:rowOff>85725</xdr:rowOff>
    </xdr:from>
    <xdr:to>
      <xdr:col>12</xdr:col>
      <xdr:colOff>476250</xdr:colOff>
      <xdr:row>242</xdr:row>
      <xdr:rowOff>161925</xdr:rowOff>
    </xdr:to>
    <xdr:sp macro="" textlink="">
      <xdr:nvSpPr>
        <xdr:cNvPr id="12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244</xdr:row>
      <xdr:rowOff>76200</xdr:rowOff>
    </xdr:from>
    <xdr:to>
      <xdr:col>12</xdr:col>
      <xdr:colOff>476250</xdr:colOff>
      <xdr:row>244</xdr:row>
      <xdr:rowOff>152400</xdr:rowOff>
    </xdr:to>
    <xdr:sp macro="" textlink="">
      <xdr:nvSpPr>
        <xdr:cNvPr id="126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241</xdr:row>
      <xdr:rowOff>76200</xdr:rowOff>
    </xdr:from>
    <xdr:to>
      <xdr:col>12</xdr:col>
      <xdr:colOff>523875</xdr:colOff>
      <xdr:row>241</xdr:row>
      <xdr:rowOff>152400</xdr:rowOff>
    </xdr:to>
    <xdr:sp macro="" textlink="">
      <xdr:nvSpPr>
        <xdr:cNvPr id="127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241</xdr:row>
      <xdr:rowOff>76200</xdr:rowOff>
    </xdr:from>
    <xdr:to>
      <xdr:col>12</xdr:col>
      <xdr:colOff>523875</xdr:colOff>
      <xdr:row>241</xdr:row>
      <xdr:rowOff>152400</xdr:rowOff>
    </xdr:to>
    <xdr:sp macro="" textlink="">
      <xdr:nvSpPr>
        <xdr:cNvPr id="128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300</xdr:row>
      <xdr:rowOff>85725</xdr:rowOff>
    </xdr:from>
    <xdr:to>
      <xdr:col>12</xdr:col>
      <xdr:colOff>476250</xdr:colOff>
      <xdr:row>300</xdr:row>
      <xdr:rowOff>161925</xdr:rowOff>
    </xdr:to>
    <xdr:sp macro="" textlink="">
      <xdr:nvSpPr>
        <xdr:cNvPr id="130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302</xdr:row>
      <xdr:rowOff>76200</xdr:rowOff>
    </xdr:from>
    <xdr:to>
      <xdr:col>12</xdr:col>
      <xdr:colOff>476250</xdr:colOff>
      <xdr:row>302</xdr:row>
      <xdr:rowOff>152400</xdr:rowOff>
    </xdr:to>
    <xdr:sp macro="" textlink="">
      <xdr:nvSpPr>
        <xdr:cNvPr id="131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299</xdr:row>
      <xdr:rowOff>76200</xdr:rowOff>
    </xdr:from>
    <xdr:to>
      <xdr:col>12</xdr:col>
      <xdr:colOff>523875</xdr:colOff>
      <xdr:row>299</xdr:row>
      <xdr:rowOff>152400</xdr:rowOff>
    </xdr:to>
    <xdr:sp macro="" textlink="">
      <xdr:nvSpPr>
        <xdr:cNvPr id="132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299</xdr:row>
      <xdr:rowOff>76200</xdr:rowOff>
    </xdr:from>
    <xdr:to>
      <xdr:col>12</xdr:col>
      <xdr:colOff>523875</xdr:colOff>
      <xdr:row>299</xdr:row>
      <xdr:rowOff>152400</xdr:rowOff>
    </xdr:to>
    <xdr:sp macro="" textlink="">
      <xdr:nvSpPr>
        <xdr:cNvPr id="133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358</xdr:row>
      <xdr:rowOff>85725</xdr:rowOff>
    </xdr:from>
    <xdr:to>
      <xdr:col>12</xdr:col>
      <xdr:colOff>476250</xdr:colOff>
      <xdr:row>358</xdr:row>
      <xdr:rowOff>161925</xdr:rowOff>
    </xdr:to>
    <xdr:sp macro="" textlink="">
      <xdr:nvSpPr>
        <xdr:cNvPr id="135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360</xdr:row>
      <xdr:rowOff>76200</xdr:rowOff>
    </xdr:from>
    <xdr:to>
      <xdr:col>12</xdr:col>
      <xdr:colOff>476250</xdr:colOff>
      <xdr:row>360</xdr:row>
      <xdr:rowOff>152400</xdr:rowOff>
    </xdr:to>
    <xdr:sp macro="" textlink="">
      <xdr:nvSpPr>
        <xdr:cNvPr id="136" name="AutoShape 25"/>
        <xdr:cNvSpPr>
          <a:spLocks noChangeArrowheads="1"/>
        </xdr:cNvSpPr>
      </xdr:nvSpPr>
      <xdr:spPr bwMode="auto">
        <a:xfrm>
          <a:off x="83153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357</xdr:row>
      <xdr:rowOff>76200</xdr:rowOff>
    </xdr:from>
    <xdr:to>
      <xdr:col>12</xdr:col>
      <xdr:colOff>523875</xdr:colOff>
      <xdr:row>357</xdr:row>
      <xdr:rowOff>152400</xdr:rowOff>
    </xdr:to>
    <xdr:sp macro="" textlink="">
      <xdr:nvSpPr>
        <xdr:cNvPr id="137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357</xdr:row>
      <xdr:rowOff>76200</xdr:rowOff>
    </xdr:from>
    <xdr:to>
      <xdr:col>12</xdr:col>
      <xdr:colOff>523875</xdr:colOff>
      <xdr:row>357</xdr:row>
      <xdr:rowOff>152400</xdr:rowOff>
    </xdr:to>
    <xdr:sp macro="" textlink="">
      <xdr:nvSpPr>
        <xdr:cNvPr id="138" name="AutoShape 25"/>
        <xdr:cNvSpPr>
          <a:spLocks noChangeArrowheads="1"/>
        </xdr:cNvSpPr>
      </xdr:nvSpPr>
      <xdr:spPr bwMode="auto">
        <a:xfrm>
          <a:off x="83629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76</xdr:row>
      <xdr:rowOff>76200</xdr:rowOff>
    </xdr:from>
    <xdr:to>
      <xdr:col>12</xdr:col>
      <xdr:colOff>628650</xdr:colOff>
      <xdr:row>76</xdr:row>
      <xdr:rowOff>152400</xdr:rowOff>
    </xdr:to>
    <xdr:sp macro="" textlink="">
      <xdr:nvSpPr>
        <xdr:cNvPr id="110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135</xdr:row>
      <xdr:rowOff>76200</xdr:rowOff>
    </xdr:from>
    <xdr:to>
      <xdr:col>12</xdr:col>
      <xdr:colOff>628650</xdr:colOff>
      <xdr:row>135</xdr:row>
      <xdr:rowOff>152400</xdr:rowOff>
    </xdr:to>
    <xdr:sp macro="" textlink="">
      <xdr:nvSpPr>
        <xdr:cNvPr id="111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193</xdr:row>
      <xdr:rowOff>76200</xdr:rowOff>
    </xdr:from>
    <xdr:to>
      <xdr:col>12</xdr:col>
      <xdr:colOff>628650</xdr:colOff>
      <xdr:row>193</xdr:row>
      <xdr:rowOff>152400</xdr:rowOff>
    </xdr:to>
    <xdr:sp macro="" textlink="">
      <xdr:nvSpPr>
        <xdr:cNvPr id="112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251</xdr:row>
      <xdr:rowOff>76200</xdr:rowOff>
    </xdr:from>
    <xdr:to>
      <xdr:col>12</xdr:col>
      <xdr:colOff>628650</xdr:colOff>
      <xdr:row>251</xdr:row>
      <xdr:rowOff>152400</xdr:rowOff>
    </xdr:to>
    <xdr:sp macro="" textlink="">
      <xdr:nvSpPr>
        <xdr:cNvPr id="113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309</xdr:row>
      <xdr:rowOff>76200</xdr:rowOff>
    </xdr:from>
    <xdr:to>
      <xdr:col>12</xdr:col>
      <xdr:colOff>628650</xdr:colOff>
      <xdr:row>309</xdr:row>
      <xdr:rowOff>152400</xdr:rowOff>
    </xdr:to>
    <xdr:sp macro="" textlink="">
      <xdr:nvSpPr>
        <xdr:cNvPr id="114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367</xdr:row>
      <xdr:rowOff>76200</xdr:rowOff>
    </xdr:from>
    <xdr:to>
      <xdr:col>12</xdr:col>
      <xdr:colOff>628650</xdr:colOff>
      <xdr:row>367</xdr:row>
      <xdr:rowOff>152400</xdr:rowOff>
    </xdr:to>
    <xdr:sp macro="" textlink="">
      <xdr:nvSpPr>
        <xdr:cNvPr id="115" name="AutoShape 25"/>
        <xdr:cNvSpPr>
          <a:spLocks noChangeArrowheads="1"/>
        </xdr:cNvSpPr>
      </xdr:nvSpPr>
      <xdr:spPr bwMode="auto">
        <a:xfrm>
          <a:off x="846772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71</xdr:row>
      <xdr:rowOff>47625</xdr:rowOff>
    </xdr:from>
    <xdr:to>
      <xdr:col>2</xdr:col>
      <xdr:colOff>333375</xdr:colOff>
      <xdr:row>71</xdr:row>
      <xdr:rowOff>123825</xdr:rowOff>
    </xdr:to>
    <xdr:sp macro="" textlink="">
      <xdr:nvSpPr>
        <xdr:cNvPr id="140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72</xdr:row>
      <xdr:rowOff>47625</xdr:rowOff>
    </xdr:from>
    <xdr:to>
      <xdr:col>2</xdr:col>
      <xdr:colOff>333375</xdr:colOff>
      <xdr:row>72</xdr:row>
      <xdr:rowOff>123825</xdr:rowOff>
    </xdr:to>
    <xdr:sp macro="" textlink="">
      <xdr:nvSpPr>
        <xdr:cNvPr id="141" name="AutoShape 22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66</xdr:row>
      <xdr:rowOff>28575</xdr:rowOff>
    </xdr:from>
    <xdr:to>
      <xdr:col>2</xdr:col>
      <xdr:colOff>323850</xdr:colOff>
      <xdr:row>66</xdr:row>
      <xdr:rowOff>142875</xdr:rowOff>
    </xdr:to>
    <xdr:sp macro="" textlink="">
      <xdr:nvSpPr>
        <xdr:cNvPr id="142" name="AutoShape 23"/>
        <xdr:cNvSpPr>
          <a:spLocks noChangeArrowheads="1"/>
        </xdr:cNvSpPr>
      </xdr:nvSpPr>
      <xdr:spPr bwMode="auto">
        <a:xfrm>
          <a:off x="1295400" y="11487150"/>
          <a:ext cx="22860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68</xdr:row>
      <xdr:rowOff>66675</xdr:rowOff>
    </xdr:from>
    <xdr:to>
      <xdr:col>2</xdr:col>
      <xdr:colOff>323850</xdr:colOff>
      <xdr:row>68</xdr:row>
      <xdr:rowOff>142875</xdr:rowOff>
    </xdr:to>
    <xdr:sp macro="" textlink="">
      <xdr:nvSpPr>
        <xdr:cNvPr id="143" name="AutoShape 24"/>
        <xdr:cNvSpPr>
          <a:spLocks noChangeArrowheads="1"/>
        </xdr:cNvSpPr>
      </xdr:nvSpPr>
      <xdr:spPr bwMode="auto">
        <a:xfrm>
          <a:off x="12763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68</xdr:row>
      <xdr:rowOff>95250</xdr:rowOff>
    </xdr:from>
    <xdr:to>
      <xdr:col>12</xdr:col>
      <xdr:colOff>476250</xdr:colOff>
      <xdr:row>68</xdr:row>
      <xdr:rowOff>171450</xdr:rowOff>
    </xdr:to>
    <xdr:sp macro="" textlink="">
      <xdr:nvSpPr>
        <xdr:cNvPr id="144" name="AutoShape 25"/>
        <xdr:cNvSpPr>
          <a:spLocks noChangeArrowheads="1"/>
        </xdr:cNvSpPr>
      </xdr:nvSpPr>
      <xdr:spPr bwMode="auto">
        <a:xfrm>
          <a:off x="762000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64</xdr:row>
      <xdr:rowOff>47625</xdr:rowOff>
    </xdr:from>
    <xdr:to>
      <xdr:col>2</xdr:col>
      <xdr:colOff>361950</xdr:colOff>
      <xdr:row>64</xdr:row>
      <xdr:rowOff>152400</xdr:rowOff>
    </xdr:to>
    <xdr:sp macro="" textlink="">
      <xdr:nvSpPr>
        <xdr:cNvPr id="145" name="AutoShape 23"/>
        <xdr:cNvSpPr>
          <a:spLocks noChangeArrowheads="1"/>
        </xdr:cNvSpPr>
      </xdr:nvSpPr>
      <xdr:spPr bwMode="auto">
        <a:xfrm>
          <a:off x="1276350" y="11487150"/>
          <a:ext cx="285750" cy="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77</xdr:row>
      <xdr:rowOff>66675</xdr:rowOff>
    </xdr:from>
    <xdr:to>
      <xdr:col>12</xdr:col>
      <xdr:colOff>495300</xdr:colOff>
      <xdr:row>77</xdr:row>
      <xdr:rowOff>142875</xdr:rowOff>
    </xdr:to>
    <xdr:sp macro="" textlink="">
      <xdr:nvSpPr>
        <xdr:cNvPr id="146" name="AutoShape 25"/>
        <xdr:cNvSpPr>
          <a:spLocks noChangeArrowheads="1"/>
        </xdr:cNvSpPr>
      </xdr:nvSpPr>
      <xdr:spPr bwMode="auto">
        <a:xfrm>
          <a:off x="76390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70</xdr:row>
      <xdr:rowOff>76200</xdr:rowOff>
    </xdr:from>
    <xdr:to>
      <xdr:col>12</xdr:col>
      <xdr:colOff>647700</xdr:colOff>
      <xdr:row>70</xdr:row>
      <xdr:rowOff>152400</xdr:rowOff>
    </xdr:to>
    <xdr:sp macro="" textlink="">
      <xdr:nvSpPr>
        <xdr:cNvPr id="148" name="AutoShape 25"/>
        <xdr:cNvSpPr>
          <a:spLocks noChangeArrowheads="1"/>
        </xdr:cNvSpPr>
      </xdr:nvSpPr>
      <xdr:spPr bwMode="auto">
        <a:xfrm>
          <a:off x="77914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70</xdr:row>
      <xdr:rowOff>57150</xdr:rowOff>
    </xdr:from>
    <xdr:to>
      <xdr:col>2</xdr:col>
      <xdr:colOff>333375</xdr:colOff>
      <xdr:row>70</xdr:row>
      <xdr:rowOff>133350</xdr:rowOff>
    </xdr:to>
    <xdr:sp macro="" textlink="">
      <xdr:nvSpPr>
        <xdr:cNvPr id="149" name="AutoShape 21"/>
        <xdr:cNvSpPr>
          <a:spLocks noChangeArrowheads="1"/>
        </xdr:cNvSpPr>
      </xdr:nvSpPr>
      <xdr:spPr bwMode="auto">
        <a:xfrm>
          <a:off x="1285875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247650</xdr:colOff>
      <xdr:row>76</xdr:row>
      <xdr:rowOff>66675</xdr:rowOff>
    </xdr:from>
    <xdr:to>
      <xdr:col>12</xdr:col>
      <xdr:colOff>495300</xdr:colOff>
      <xdr:row>76</xdr:row>
      <xdr:rowOff>142875</xdr:rowOff>
    </xdr:to>
    <xdr:sp macro="" textlink="">
      <xdr:nvSpPr>
        <xdr:cNvPr id="34" name="AutoShape 25"/>
        <xdr:cNvSpPr>
          <a:spLocks noChangeArrowheads="1"/>
        </xdr:cNvSpPr>
      </xdr:nvSpPr>
      <xdr:spPr bwMode="auto">
        <a:xfrm>
          <a:off x="7639050" y="11487150"/>
          <a:ext cx="247650" cy="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26" t="s">
        <v>182</v>
      </c>
      <c r="B2" s="227"/>
      <c r="C2" s="227"/>
      <c r="D2" s="227"/>
      <c r="E2" s="228"/>
      <c r="G2" s="226" t="s">
        <v>183</v>
      </c>
      <c r="H2" s="227"/>
      <c r="I2" s="227"/>
      <c r="J2" s="227"/>
      <c r="K2" s="228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171</v>
      </c>
      <c r="K3" s="112" t="s">
        <v>170</v>
      </c>
    </row>
    <row r="4" spans="1:11" ht="15">
      <c r="A4" s="229" t="s">
        <v>6</v>
      </c>
      <c r="B4" s="96">
        <v>4</v>
      </c>
      <c r="C4" s="96">
        <v>4</v>
      </c>
      <c r="D4" s="97">
        <v>312</v>
      </c>
      <c r="E4" s="98">
        <v>185</v>
      </c>
      <c r="G4" s="229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30"/>
      <c r="B5" s="99">
        <v>2</v>
      </c>
      <c r="C5" s="99">
        <v>4</v>
      </c>
      <c r="D5" s="100">
        <v>469</v>
      </c>
      <c r="E5" s="101">
        <v>279</v>
      </c>
      <c r="G5" s="230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30"/>
      <c r="B6" s="99" t="s">
        <v>0</v>
      </c>
      <c r="C6" s="99">
        <v>4</v>
      </c>
      <c r="D6" s="100">
        <v>692</v>
      </c>
      <c r="E6" s="101">
        <v>412</v>
      </c>
      <c r="G6" s="230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30"/>
      <c r="B7" s="99" t="s">
        <v>1</v>
      </c>
      <c r="C7" s="99">
        <v>2</v>
      </c>
      <c r="D7" s="100">
        <v>831</v>
      </c>
      <c r="E7" s="101">
        <v>495</v>
      </c>
      <c r="G7" s="230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30"/>
      <c r="B8" s="99" t="s">
        <v>2</v>
      </c>
      <c r="C8" s="99">
        <v>2</v>
      </c>
      <c r="D8" s="100">
        <v>982</v>
      </c>
      <c r="E8" s="101">
        <v>584</v>
      </c>
      <c r="G8" s="230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31"/>
      <c r="B9" s="102" t="s">
        <v>3</v>
      </c>
      <c r="C9" s="102" t="s">
        <v>0</v>
      </c>
      <c r="D9" s="103">
        <v>1159</v>
      </c>
      <c r="E9" s="104">
        <v>690</v>
      </c>
      <c r="G9" s="231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29" t="s">
        <v>7</v>
      </c>
      <c r="B10" s="96">
        <v>4</v>
      </c>
      <c r="C10" s="96">
        <v>4</v>
      </c>
      <c r="D10" s="97">
        <v>276</v>
      </c>
      <c r="E10" s="98">
        <v>164</v>
      </c>
      <c r="G10" s="229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30"/>
      <c r="B11" s="99">
        <v>2</v>
      </c>
      <c r="C11" s="99">
        <v>4</v>
      </c>
      <c r="D11" s="100">
        <v>419</v>
      </c>
      <c r="E11" s="101">
        <v>249</v>
      </c>
      <c r="G11" s="230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30"/>
      <c r="B12" s="99" t="s">
        <v>0</v>
      </c>
      <c r="C12" s="99">
        <v>4</v>
      </c>
      <c r="D12" s="100">
        <v>622</v>
      </c>
      <c r="E12" s="101">
        <v>370</v>
      </c>
      <c r="G12" s="230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30"/>
      <c r="B13" s="99" t="s">
        <v>1</v>
      </c>
      <c r="C13" s="99">
        <v>2</v>
      </c>
      <c r="D13" s="100">
        <v>746</v>
      </c>
      <c r="E13" s="101">
        <v>444</v>
      </c>
      <c r="G13" s="230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30"/>
      <c r="B14" s="99" t="s">
        <v>2</v>
      </c>
      <c r="C14" s="99">
        <v>2</v>
      </c>
      <c r="D14" s="100">
        <v>887</v>
      </c>
      <c r="E14" s="101">
        <v>528</v>
      </c>
      <c r="G14" s="230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31"/>
      <c r="B15" s="102" t="s">
        <v>3</v>
      </c>
      <c r="C15" s="102" t="s">
        <v>0</v>
      </c>
      <c r="D15" s="103">
        <v>1049</v>
      </c>
      <c r="E15" s="104">
        <v>625</v>
      </c>
      <c r="G15" s="231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29" t="s">
        <v>8</v>
      </c>
      <c r="B16" s="105">
        <v>8</v>
      </c>
      <c r="C16" s="106">
        <v>8</v>
      </c>
      <c r="D16" s="97">
        <v>209</v>
      </c>
      <c r="E16" s="98">
        <v>124</v>
      </c>
      <c r="G16" s="229" t="s">
        <v>8</v>
      </c>
      <c r="H16" s="105"/>
      <c r="I16" s="106"/>
      <c r="J16" s="97"/>
      <c r="K16" s="98"/>
      <c r="M16" s="86"/>
    </row>
    <row r="17" spans="1:13" ht="15">
      <c r="A17" s="230"/>
      <c r="B17" s="107">
        <v>6</v>
      </c>
      <c r="C17" s="108">
        <v>8</v>
      </c>
      <c r="D17" s="100">
        <v>319</v>
      </c>
      <c r="E17" s="101">
        <v>190</v>
      </c>
      <c r="G17" s="230"/>
      <c r="H17" s="107"/>
      <c r="I17" s="108"/>
      <c r="J17" s="100"/>
      <c r="K17" s="101"/>
      <c r="M17" s="86"/>
    </row>
    <row r="18" spans="1:13" ht="15">
      <c r="A18" s="230"/>
      <c r="B18" s="107">
        <v>6</v>
      </c>
      <c r="C18" s="108">
        <v>6</v>
      </c>
      <c r="D18" s="100">
        <v>319</v>
      </c>
      <c r="E18" s="101">
        <v>190</v>
      </c>
      <c r="G18" s="230"/>
      <c r="H18" s="107"/>
      <c r="I18" s="108"/>
      <c r="J18" s="100"/>
      <c r="K18" s="101"/>
      <c r="M18" s="86"/>
    </row>
    <row r="19" spans="1:13" ht="15">
      <c r="A19" s="230"/>
      <c r="B19" s="107">
        <v>4</v>
      </c>
      <c r="C19" s="108">
        <v>4</v>
      </c>
      <c r="D19" s="100">
        <v>474</v>
      </c>
      <c r="E19" s="101">
        <v>282</v>
      </c>
      <c r="G19" s="230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30"/>
      <c r="B20" s="107">
        <v>2</v>
      </c>
      <c r="C20" s="108">
        <v>4</v>
      </c>
      <c r="D20" s="100">
        <v>688</v>
      </c>
      <c r="E20" s="101">
        <v>401</v>
      </c>
      <c r="G20" s="230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30"/>
      <c r="B21" s="107" t="s">
        <v>0</v>
      </c>
      <c r="C21" s="108">
        <v>4</v>
      </c>
      <c r="D21" s="100">
        <v>975</v>
      </c>
      <c r="E21" s="101">
        <v>580</v>
      </c>
      <c r="G21" s="230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30"/>
      <c r="B22" s="107" t="s">
        <v>1</v>
      </c>
      <c r="C22" s="108">
        <v>2</v>
      </c>
      <c r="D22" s="100">
        <v>1146</v>
      </c>
      <c r="E22" s="101">
        <v>682</v>
      </c>
      <c r="G22" s="230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30"/>
      <c r="B23" s="107" t="s">
        <v>2</v>
      </c>
      <c r="C23" s="108">
        <v>2</v>
      </c>
      <c r="D23" s="100">
        <v>1335</v>
      </c>
      <c r="E23" s="101">
        <v>795</v>
      </c>
      <c r="G23" s="230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31"/>
      <c r="B24" s="109" t="s">
        <v>3</v>
      </c>
      <c r="C24" s="102" t="s">
        <v>0</v>
      </c>
      <c r="D24" s="103">
        <v>1539</v>
      </c>
      <c r="E24" s="104">
        <v>910</v>
      </c>
      <c r="G24" s="231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29" t="s">
        <v>9</v>
      </c>
      <c r="B25" s="96">
        <v>4</v>
      </c>
      <c r="C25" s="96">
        <v>4</v>
      </c>
      <c r="D25" s="97">
        <v>298</v>
      </c>
      <c r="E25" s="98">
        <v>177</v>
      </c>
      <c r="G25" s="229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30"/>
      <c r="B26" s="99">
        <v>2</v>
      </c>
      <c r="C26" s="99">
        <v>4</v>
      </c>
      <c r="D26" s="100">
        <v>427</v>
      </c>
      <c r="E26" s="101">
        <v>254</v>
      </c>
      <c r="G26" s="230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30"/>
      <c r="B27" s="99" t="s">
        <v>0</v>
      </c>
      <c r="C27" s="99">
        <v>4</v>
      </c>
      <c r="D27" s="100">
        <v>595</v>
      </c>
      <c r="E27" s="101">
        <v>351</v>
      </c>
      <c r="G27" s="230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30"/>
      <c r="B28" s="99" t="s">
        <v>1</v>
      </c>
      <c r="C28" s="99">
        <v>2</v>
      </c>
      <c r="D28" s="100">
        <v>708</v>
      </c>
      <c r="E28" s="101">
        <v>420</v>
      </c>
      <c r="G28" s="230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30"/>
      <c r="B29" s="99" t="s">
        <v>2</v>
      </c>
      <c r="C29" s="99">
        <v>2</v>
      </c>
      <c r="D29" s="100">
        <v>833</v>
      </c>
      <c r="E29" s="101">
        <v>495</v>
      </c>
      <c r="G29" s="230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31"/>
      <c r="B30" s="102" t="s">
        <v>3</v>
      </c>
      <c r="C30" s="102" t="s">
        <v>0</v>
      </c>
      <c r="D30" s="103">
        <v>972</v>
      </c>
      <c r="E30" s="104">
        <v>570</v>
      </c>
      <c r="G30" s="231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A25:A30"/>
    <mergeCell ref="A2:E2"/>
    <mergeCell ref="A4:A9"/>
    <mergeCell ref="A10:A15"/>
    <mergeCell ref="A16:A24"/>
    <mergeCell ref="G2:K2"/>
    <mergeCell ref="G4:G9"/>
    <mergeCell ref="G10:G15"/>
    <mergeCell ref="G16:G24"/>
    <mergeCell ref="G25:G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07"/>
  <sheetViews>
    <sheetView tabSelected="1" zoomScale="85" zoomScaleNormal="85" workbookViewId="0" topLeftCell="A13">
      <selection activeCell="AI32" sqref="AI32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213</v>
      </c>
    </row>
    <row r="2" spans="1:14" ht="18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8">
      <c r="A3" s="133"/>
      <c r="B3" s="133"/>
      <c r="C3" s="133"/>
      <c r="D3" s="133"/>
      <c r="E3" s="133"/>
      <c r="F3" s="22" t="s">
        <v>204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57" t="s">
        <v>112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160</v>
      </c>
      <c r="AE4" s="138" t="s">
        <v>166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161</v>
      </c>
      <c r="AE5" s="138">
        <v>0.65</v>
      </c>
    </row>
    <row r="6" spans="1:31" ht="15.75" thickBot="1">
      <c r="A6" s="25" t="s">
        <v>23</v>
      </c>
      <c r="B6" s="26"/>
      <c r="C6" s="88"/>
      <c r="D6" s="246" t="s">
        <v>67</v>
      </c>
      <c r="E6" s="246"/>
      <c r="F6" s="258" t="s">
        <v>92</v>
      </c>
      <c r="G6" s="259"/>
      <c r="H6" s="260" t="s">
        <v>91</v>
      </c>
      <c r="I6" s="261"/>
      <c r="J6" s="262"/>
      <c r="K6" s="263" t="s">
        <v>81</v>
      </c>
      <c r="L6" s="264"/>
      <c r="M6" s="265" t="s">
        <v>210</v>
      </c>
      <c r="N6" s="266"/>
      <c r="Q6" s="195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162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163</v>
      </c>
      <c r="AE7" s="138">
        <v>0.8</v>
      </c>
    </row>
    <row r="8" spans="1:31" ht="15.75" thickBot="1">
      <c r="A8" s="25" t="s">
        <v>24</v>
      </c>
      <c r="B8" s="26"/>
      <c r="C8" s="26"/>
      <c r="D8" s="245" t="s">
        <v>83</v>
      </c>
      <c r="E8" s="246"/>
      <c r="F8" s="247"/>
      <c r="G8" s="26"/>
      <c r="H8" s="29"/>
      <c r="I8" s="268"/>
      <c r="J8" s="269"/>
      <c r="K8" s="26"/>
      <c r="L8" s="26" t="s">
        <v>164</v>
      </c>
      <c r="M8" s="26"/>
      <c r="N8" s="208" t="s">
        <v>161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168</v>
      </c>
      <c r="L9" s="205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8" t="s">
        <v>70</v>
      </c>
      <c r="E10" s="249"/>
      <c r="F10" s="18"/>
      <c r="G10" s="18"/>
      <c r="H10" s="18"/>
      <c r="I10" s="18"/>
      <c r="J10" s="18"/>
      <c r="K10" s="23"/>
      <c r="L10" s="18" t="s">
        <v>169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165</v>
      </c>
      <c r="L11" s="35"/>
      <c r="M11" s="18"/>
      <c r="N11" s="206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75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211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2</v>
      </c>
      <c r="E13" s="21"/>
      <c r="F13" s="28"/>
      <c r="G13" s="42" t="s">
        <v>32</v>
      </c>
      <c r="H13" s="271" t="s">
        <v>205</v>
      </c>
      <c r="I13" s="272"/>
      <c r="J13" s="272"/>
      <c r="K13" s="41"/>
      <c r="L13" s="21"/>
      <c r="M13" s="115" t="s">
        <v>93</v>
      </c>
      <c r="N13" s="207">
        <f>+N14/N11</f>
        <v>4.4979320871648705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90</v>
      </c>
      <c r="E14" s="41"/>
      <c r="F14" s="28"/>
      <c r="G14" s="42" t="s">
        <v>35</v>
      </c>
      <c r="H14" s="252">
        <v>43598</v>
      </c>
      <c r="I14" s="253"/>
      <c r="J14" s="253"/>
      <c r="K14" s="41"/>
      <c r="L14" s="21"/>
      <c r="M14" s="115" t="s">
        <v>167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4.4979320871648705</v>
      </c>
      <c r="P14" s="221" t="s">
        <v>194</v>
      </c>
      <c r="Q14" s="222" t="e">
        <f>+D13+#REF!+D72+D131+D189+D247+D305+D363</f>
        <v>#REF!</v>
      </c>
      <c r="R14" s="270" t="s">
        <v>192</v>
      </c>
      <c r="S14" s="270"/>
      <c r="T14" s="270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54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55"/>
      <c r="C15" s="255"/>
      <c r="D15" s="255"/>
      <c r="E15" s="255"/>
      <c r="F15" s="255"/>
      <c r="G15" s="255"/>
      <c r="H15" s="255"/>
      <c r="I15" s="255"/>
      <c r="J15" s="255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10</v>
      </c>
      <c r="P15" s="221" t="s">
        <v>193</v>
      </c>
      <c r="Q15" s="222" t="e">
        <f>+D14+#REF!+D73+D132+D190+D248+D306+D364</f>
        <v>#REF!</v>
      </c>
      <c r="R15" s="267" t="s">
        <v>190</v>
      </c>
      <c r="S15" s="224" t="s">
        <v>188</v>
      </c>
      <c r="T15" s="223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 t="e">
        <f>+Q15/110</f>
        <v>#REF!</v>
      </c>
      <c r="R16" s="267"/>
      <c r="S16" s="224" t="s">
        <v>189</v>
      </c>
      <c r="T16" s="223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67" t="s">
        <v>191</v>
      </c>
      <c r="S17" s="224" t="s">
        <v>188</v>
      </c>
      <c r="T17" s="223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186</v>
      </c>
      <c r="M18" s="21"/>
      <c r="N18" s="163"/>
      <c r="R18" s="267"/>
      <c r="S18" s="224" t="s">
        <v>189</v>
      </c>
      <c r="T18" s="223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206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40" t="s">
        <v>38</v>
      </c>
      <c r="B21" s="241"/>
      <c r="C21" s="52" t="s">
        <v>39</v>
      </c>
      <c r="D21" s="52" t="s">
        <v>40</v>
      </c>
      <c r="E21" s="53" t="s">
        <v>41</v>
      </c>
      <c r="F21" s="53" t="s">
        <v>42</v>
      </c>
      <c r="G21" s="240" t="s">
        <v>43</v>
      </c>
      <c r="H21" s="242"/>
      <c r="I21" s="242"/>
      <c r="J21" s="241"/>
      <c r="K21" s="243" t="s">
        <v>44</v>
      </c>
      <c r="L21" s="242" t="s">
        <v>45</v>
      </c>
      <c r="M21" s="242"/>
      <c r="N21" s="241"/>
      <c r="P21" s="138" t="s">
        <v>43</v>
      </c>
      <c r="Q21" s="225" t="e">
        <f>+H52+#REF!+H111+H170+H228+H286+H344+H402</f>
        <v>#REF!</v>
      </c>
      <c r="R21" s="225"/>
      <c r="S21" s="225" t="e">
        <f>+J52+#REF!+J111+J170+J228+J286+J344+J402</f>
        <v>#REF!</v>
      </c>
      <c r="T21" s="225" t="e">
        <f>+Q21+S21</f>
        <v>#REF!</v>
      </c>
      <c r="U21" s="232" t="s">
        <v>98</v>
      </c>
      <c r="V21" s="232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44"/>
      <c r="L22" s="53" t="s">
        <v>54</v>
      </c>
      <c r="M22" s="43" t="s">
        <v>55</v>
      </c>
      <c r="N22" s="57" t="s">
        <v>56</v>
      </c>
      <c r="U22" s="232"/>
      <c r="V22" s="232"/>
    </row>
    <row r="23" spans="1:22" ht="15">
      <c r="A23" s="191" t="s">
        <v>206</v>
      </c>
      <c r="B23" s="164" t="s">
        <v>212</v>
      </c>
      <c r="C23" s="165">
        <v>83</v>
      </c>
      <c r="D23" s="165">
        <v>2</v>
      </c>
      <c r="E23" s="166">
        <v>90</v>
      </c>
      <c r="F23" s="193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4.4979320871648705</v>
      </c>
      <c r="G23" s="95">
        <f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279</v>
      </c>
      <c r="K23" s="60">
        <f aca="true" t="shared" si="0" ref="K23:K50">IF(C23="","",ROUND(F23*C23,0))</f>
        <v>373</v>
      </c>
      <c r="L23" s="61">
        <f>IF($N$19="","",IF(C23="","",ROUND(K23/J23,2)))</f>
        <v>1.34</v>
      </c>
      <c r="M23" s="61">
        <f>IF(C23="","",VLOOKUP(A23,$B$23:$N$50,12,FALSE)+L23+N18)</f>
        <v>1.34</v>
      </c>
      <c r="N23" s="154">
        <f>+M23</f>
        <v>1.34</v>
      </c>
      <c r="U23" s="138">
        <f>+IF(C23="",0,C23)</f>
        <v>83</v>
      </c>
      <c r="V23" s="138">
        <f>IF(OR(C23="",G23=""),0,C23*G23)</f>
        <v>83</v>
      </c>
    </row>
    <row r="24" spans="1:22" ht="15">
      <c r="A24" s="167"/>
      <c r="B24" s="168"/>
      <c r="C24" s="169"/>
      <c r="D24" s="169"/>
      <c r="E24" s="170"/>
      <c r="F24" s="62"/>
      <c r="G24" s="59"/>
      <c r="H24" s="183"/>
      <c r="I24" s="183"/>
      <c r="J24" s="59"/>
      <c r="K24" s="63"/>
      <c r="L24" s="62"/>
      <c r="M24" s="62"/>
      <c r="N24" s="155"/>
      <c r="U24" s="138">
        <f aca="true" t="shared" si="1" ref="U24:U49">+IF(C24="",0,C24)</f>
        <v>0</v>
      </c>
      <c r="V24" s="138">
        <f aca="true" t="shared" si="2" ref="V24:V49">IF(OR(C24="",G24=""),0,C24*G24)</f>
        <v>0</v>
      </c>
    </row>
    <row r="25" spans="1:22" ht="15">
      <c r="A25" s="167"/>
      <c r="B25" s="168"/>
      <c r="C25" s="169"/>
      <c r="D25" s="169"/>
      <c r="E25" s="170"/>
      <c r="F25" s="58"/>
      <c r="G25" s="59"/>
      <c r="H25" s="183"/>
      <c r="I25" s="183"/>
      <c r="J25" s="59"/>
      <c r="K25" s="63"/>
      <c r="L25" s="62"/>
      <c r="M25" s="62"/>
      <c r="N25" s="155"/>
      <c r="U25" s="138">
        <f t="shared" si="1"/>
        <v>0</v>
      </c>
      <c r="V25" s="138">
        <f t="shared" si="2"/>
        <v>0</v>
      </c>
    </row>
    <row r="26" spans="1:22" ht="15">
      <c r="A26" s="167"/>
      <c r="B26" s="168"/>
      <c r="C26" s="169"/>
      <c r="D26" s="169"/>
      <c r="E26" s="170"/>
      <c r="F26" s="58" t="str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/>
      </c>
      <c r="G26" s="59" t="str">
        <f aca="true" t="shared" si="3" ref="G26:G50">IF(OR($N$10="",C26=""),"",IF($N$10="1F",1,3))</f>
        <v/>
      </c>
      <c r="H26" s="183"/>
      <c r="I26" s="183"/>
      <c r="J26" s="59" t="str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/>
      </c>
      <c r="K26" s="63" t="str">
        <f t="shared" si="0"/>
        <v/>
      </c>
      <c r="L26" s="62" t="str">
        <f aca="true" t="shared" si="4" ref="L26:L49">IF($N$19="","",IF(C26="","",ROUND(K26/J26,2)))</f>
        <v/>
      </c>
      <c r="M26" s="62" t="str">
        <f aca="true" t="shared" si="5" ref="M26:M49">IF(C26="","",VLOOKUP(A26,$B$23:$N$50,12,FALSE)+L26)</f>
        <v/>
      </c>
      <c r="N26" s="155" t="str">
        <f>+M26</f>
        <v/>
      </c>
      <c r="U26" s="138">
        <f t="shared" si="1"/>
        <v>0</v>
      </c>
      <c r="V26" s="138">
        <f t="shared" si="2"/>
        <v>0</v>
      </c>
    </row>
    <row r="27" spans="1:22" ht="15">
      <c r="A27" s="167"/>
      <c r="B27" s="168"/>
      <c r="C27" s="169"/>
      <c r="D27" s="169"/>
      <c r="E27" s="170"/>
      <c r="F27" s="58" t="str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/>
      </c>
      <c r="K27" s="63" t="str">
        <f t="shared" si="0"/>
        <v/>
      </c>
      <c r="L27" s="62" t="str">
        <f t="shared" si="4"/>
        <v/>
      </c>
      <c r="M27" s="62" t="str">
        <f t="shared" si="5"/>
        <v/>
      </c>
      <c r="N27" s="155"/>
      <c r="U27" s="138">
        <f t="shared" si="1"/>
        <v>0</v>
      </c>
      <c r="V27" s="138">
        <f t="shared" si="2"/>
        <v>0</v>
      </c>
    </row>
    <row r="28" spans="1:22" ht="15">
      <c r="A28" s="167"/>
      <c r="B28" s="168"/>
      <c r="C28" s="169"/>
      <c r="D28" s="169"/>
      <c r="E28" s="170"/>
      <c r="F28" s="58" t="str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/>
      </c>
      <c r="K28" s="63" t="str">
        <f t="shared" si="0"/>
        <v/>
      </c>
      <c r="L28" s="62" t="str">
        <f t="shared" si="4"/>
        <v/>
      </c>
      <c r="M28" s="62" t="str">
        <f t="shared" si="5"/>
        <v/>
      </c>
      <c r="N28" s="155" t="str">
        <f>+M28</f>
        <v/>
      </c>
      <c r="U28" s="138">
        <f t="shared" si="1"/>
        <v>0</v>
      </c>
      <c r="V28" s="138">
        <f t="shared" si="2"/>
        <v>0</v>
      </c>
    </row>
    <row r="29" spans="1:22" ht="15">
      <c r="A29" s="167"/>
      <c r="B29" s="168"/>
      <c r="C29" s="169"/>
      <c r="D29" s="169"/>
      <c r="E29" s="170"/>
      <c r="F29" s="58" t="str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/>
      </c>
      <c r="K29" s="63" t="str">
        <f t="shared" si="0"/>
        <v/>
      </c>
      <c r="L29" s="62" t="str">
        <f t="shared" si="4"/>
        <v/>
      </c>
      <c r="M29" s="62" t="str">
        <f t="shared" si="5"/>
        <v/>
      </c>
      <c r="N29" s="155" t="str">
        <f>+M29</f>
        <v/>
      </c>
      <c r="U29" s="138">
        <f t="shared" si="1"/>
        <v>0</v>
      </c>
      <c r="V29" s="138">
        <f t="shared" si="2"/>
        <v>0</v>
      </c>
    </row>
    <row r="30" spans="1:22" ht="15">
      <c r="A30" s="167"/>
      <c r="B30" s="168"/>
      <c r="C30" s="169"/>
      <c r="D30" s="169"/>
      <c r="E30" s="170"/>
      <c r="F30" s="58" t="str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/>
      </c>
      <c r="K30" s="63" t="str">
        <f t="shared" si="0"/>
        <v/>
      </c>
      <c r="L30" s="62" t="str">
        <f t="shared" si="4"/>
        <v/>
      </c>
      <c r="M30" s="62" t="str">
        <f t="shared" si="5"/>
        <v/>
      </c>
      <c r="N30" s="155"/>
      <c r="U30" s="138">
        <f t="shared" si="1"/>
        <v>0</v>
      </c>
      <c r="V30" s="138">
        <f t="shared" si="2"/>
        <v>0</v>
      </c>
    </row>
    <row r="31" spans="1:22" ht="15">
      <c r="A31" s="171"/>
      <c r="B31" s="172"/>
      <c r="C31" s="173"/>
      <c r="D31" s="173"/>
      <c r="E31" s="170"/>
      <c r="F31" s="58" t="str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/>
      </c>
      <c r="K31" s="63" t="str">
        <f t="shared" si="0"/>
        <v/>
      </c>
      <c r="L31" s="62" t="str">
        <f t="shared" si="4"/>
        <v/>
      </c>
      <c r="M31" s="62" t="str">
        <f t="shared" si="5"/>
        <v/>
      </c>
      <c r="N31" s="155"/>
      <c r="U31" s="138">
        <f t="shared" si="1"/>
        <v>0</v>
      </c>
      <c r="V31" s="138">
        <f t="shared" si="2"/>
        <v>0</v>
      </c>
    </row>
    <row r="32" spans="1:22" ht="15">
      <c r="A32" s="167"/>
      <c r="B32" s="168"/>
      <c r="C32" s="169"/>
      <c r="D32" s="169"/>
      <c r="E32" s="174"/>
      <c r="F32" s="58" t="str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/>
      </c>
      <c r="K32" s="63" t="str">
        <f t="shared" si="0"/>
        <v/>
      </c>
      <c r="L32" s="62" t="str">
        <f t="shared" si="4"/>
        <v/>
      </c>
      <c r="M32" s="62" t="str">
        <f t="shared" si="5"/>
        <v/>
      </c>
      <c r="N32" s="155"/>
      <c r="U32" s="138">
        <f t="shared" si="1"/>
        <v>0</v>
      </c>
      <c r="V32" s="138">
        <f t="shared" si="2"/>
        <v>0</v>
      </c>
    </row>
    <row r="33" spans="1:22" ht="15">
      <c r="A33" s="175"/>
      <c r="B33" s="176"/>
      <c r="C33" s="177"/>
      <c r="D33" s="177"/>
      <c r="E33" s="170"/>
      <c r="F33" s="58" t="str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/>
      </c>
      <c r="K33" s="63" t="str">
        <f t="shared" si="0"/>
        <v/>
      </c>
      <c r="L33" s="62" t="str">
        <f t="shared" si="4"/>
        <v/>
      </c>
      <c r="M33" s="62" t="str">
        <f t="shared" si="5"/>
        <v/>
      </c>
      <c r="N33" s="155" t="str">
        <f>+M33</f>
        <v/>
      </c>
      <c r="U33" s="138">
        <f t="shared" si="1"/>
        <v>0</v>
      </c>
      <c r="V33" s="138">
        <f t="shared" si="2"/>
        <v>0</v>
      </c>
    </row>
    <row r="34" spans="1:22" ht="15">
      <c r="A34" s="167"/>
      <c r="B34" s="168"/>
      <c r="C34" s="169"/>
      <c r="D34" s="169"/>
      <c r="E34" s="170"/>
      <c r="F34" s="58" t="str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/>
      </c>
      <c r="K34" s="63" t="str">
        <f t="shared" si="0"/>
        <v/>
      </c>
      <c r="L34" s="62" t="str">
        <f t="shared" si="4"/>
        <v/>
      </c>
      <c r="M34" s="62" t="str">
        <f t="shared" si="5"/>
        <v/>
      </c>
      <c r="N34" s="155" t="str">
        <f>+M34</f>
        <v/>
      </c>
      <c r="U34" s="138">
        <f t="shared" si="1"/>
        <v>0</v>
      </c>
      <c r="V34" s="138">
        <f t="shared" si="2"/>
        <v>0</v>
      </c>
    </row>
    <row r="35" spans="1:22" ht="15">
      <c r="A35" s="167"/>
      <c r="B35" s="168"/>
      <c r="C35" s="169"/>
      <c r="D35" s="169"/>
      <c r="E35" s="170"/>
      <c r="F35" s="58" t="str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/>
      </c>
      <c r="K35" s="63" t="str">
        <f t="shared" si="0"/>
        <v/>
      </c>
      <c r="L35" s="62" t="str">
        <f t="shared" si="4"/>
        <v/>
      </c>
      <c r="M35" s="62" t="str">
        <f t="shared" si="5"/>
        <v/>
      </c>
      <c r="N35" s="155"/>
      <c r="U35" s="138">
        <f t="shared" si="1"/>
        <v>0</v>
      </c>
      <c r="V35" s="138">
        <f t="shared" si="2"/>
        <v>0</v>
      </c>
    </row>
    <row r="36" spans="1:22" ht="15">
      <c r="A36" s="167"/>
      <c r="B36" s="168"/>
      <c r="C36" s="169"/>
      <c r="D36" s="169"/>
      <c r="E36" s="170"/>
      <c r="F36" s="58" t="str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/>
      </c>
      <c r="K36" s="63" t="str">
        <f t="shared" si="0"/>
        <v/>
      </c>
      <c r="L36" s="62" t="str">
        <f t="shared" si="4"/>
        <v/>
      </c>
      <c r="M36" s="62" t="str">
        <f t="shared" si="5"/>
        <v/>
      </c>
      <c r="N36" s="155"/>
      <c r="U36" s="138">
        <f t="shared" si="1"/>
        <v>0</v>
      </c>
      <c r="V36" s="138">
        <f t="shared" si="2"/>
        <v>0</v>
      </c>
    </row>
    <row r="37" spans="1:22" ht="15">
      <c r="A37" s="167"/>
      <c r="B37" s="168"/>
      <c r="C37" s="169"/>
      <c r="D37" s="169"/>
      <c r="E37" s="170"/>
      <c r="F37" s="58" t="str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/>
      </c>
      <c r="K37" s="63" t="str">
        <f t="shared" si="0"/>
        <v/>
      </c>
      <c r="L37" s="62" t="str">
        <f t="shared" si="4"/>
        <v/>
      </c>
      <c r="M37" s="62" t="str">
        <f t="shared" si="5"/>
        <v/>
      </c>
      <c r="N37" s="155" t="str">
        <f>+M37</f>
        <v/>
      </c>
      <c r="U37" s="138">
        <f t="shared" si="1"/>
        <v>0</v>
      </c>
      <c r="V37" s="138">
        <f t="shared" si="2"/>
        <v>0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4"/>
        <v/>
      </c>
      <c r="M38" s="62" t="str">
        <f t="shared" si="5"/>
        <v/>
      </c>
      <c r="N38" s="155"/>
      <c r="U38" s="138">
        <f t="shared" si="1"/>
        <v>0</v>
      </c>
      <c r="V38" s="138">
        <f t="shared" si="2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4"/>
        <v/>
      </c>
      <c r="M39" s="62" t="str">
        <f t="shared" si="5"/>
        <v/>
      </c>
      <c r="N39" s="155"/>
      <c r="U39" s="138">
        <f t="shared" si="1"/>
        <v>0</v>
      </c>
      <c r="V39" s="138">
        <f t="shared" si="2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4"/>
        <v/>
      </c>
      <c r="M40" s="62" t="str">
        <f t="shared" si="5"/>
        <v/>
      </c>
      <c r="N40" s="155"/>
      <c r="U40" s="138">
        <f t="shared" si="1"/>
        <v>0</v>
      </c>
      <c r="V40" s="138">
        <f t="shared" si="2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4"/>
        <v/>
      </c>
      <c r="M41" s="62" t="str">
        <f t="shared" si="5"/>
        <v/>
      </c>
      <c r="N41" s="155"/>
      <c r="U41" s="138">
        <f t="shared" si="1"/>
        <v>0</v>
      </c>
      <c r="V41" s="138">
        <f t="shared" si="2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4"/>
        <v/>
      </c>
      <c r="M42" s="62" t="str">
        <f t="shared" si="5"/>
        <v/>
      </c>
      <c r="N42" s="155"/>
      <c r="U42" s="138">
        <f t="shared" si="1"/>
        <v>0</v>
      </c>
      <c r="V42" s="138">
        <f t="shared" si="2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4"/>
        <v/>
      </c>
      <c r="M43" s="62" t="str">
        <f t="shared" si="5"/>
        <v/>
      </c>
      <c r="N43" s="155"/>
      <c r="U43" s="138">
        <f t="shared" si="1"/>
        <v>0</v>
      </c>
      <c r="V43" s="138">
        <f t="shared" si="2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4"/>
        <v/>
      </c>
      <c r="M44" s="62" t="str">
        <f t="shared" si="5"/>
        <v/>
      </c>
      <c r="N44" s="155"/>
      <c r="U44" s="138">
        <f t="shared" si="1"/>
        <v>0</v>
      </c>
      <c r="V44" s="138">
        <f t="shared" si="2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4"/>
        <v/>
      </c>
      <c r="M45" s="62" t="str">
        <f t="shared" si="5"/>
        <v/>
      </c>
      <c r="N45" s="155"/>
      <c r="U45" s="138">
        <f t="shared" si="1"/>
        <v>0</v>
      </c>
      <c r="V45" s="138">
        <f t="shared" si="2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4"/>
        <v/>
      </c>
      <c r="M46" s="62" t="str">
        <f t="shared" si="5"/>
        <v/>
      </c>
      <c r="N46" s="155"/>
      <c r="U46" s="138">
        <f t="shared" si="1"/>
        <v>0</v>
      </c>
      <c r="V46" s="138">
        <f t="shared" si="2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4"/>
        <v/>
      </c>
      <c r="M47" s="62" t="str">
        <f t="shared" si="5"/>
        <v/>
      </c>
      <c r="N47" s="155"/>
      <c r="U47" s="138">
        <f t="shared" si="1"/>
        <v>0</v>
      </c>
      <c r="V47" s="138">
        <f t="shared" si="2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4"/>
        <v/>
      </c>
      <c r="M48" s="62" t="str">
        <f t="shared" si="5"/>
        <v/>
      </c>
      <c r="N48" s="156"/>
      <c r="U48" s="138">
        <f t="shared" si="1"/>
        <v>0</v>
      </c>
      <c r="V48" s="138">
        <f t="shared" si="2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4"/>
        <v/>
      </c>
      <c r="M49" s="64" t="str">
        <f t="shared" si="5"/>
        <v/>
      </c>
      <c r="N49" s="157"/>
      <c r="U49" s="138">
        <f t="shared" si="1"/>
        <v>0</v>
      </c>
      <c r="V49" s="138">
        <f t="shared" si="2"/>
        <v>0</v>
      </c>
    </row>
    <row r="50" spans="1:22" ht="15.75" hidden="1" thickBot="1">
      <c r="A50" s="143"/>
      <c r="B50" s="67" t="str">
        <f>IF(N19="","",N19)</f>
        <v>P3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3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3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84</v>
      </c>
      <c r="K52" s="147"/>
      <c r="L52" s="91"/>
      <c r="M52" s="92"/>
      <c r="N52" s="234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4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84</v>
      </c>
      <c r="L54" s="91"/>
      <c r="M54" s="92"/>
      <c r="N54" s="234"/>
    </row>
    <row r="55" spans="1:14" ht="15.75" thickBot="1">
      <c r="A55" s="235" t="s">
        <v>123</v>
      </c>
      <c r="B55" s="235"/>
      <c r="C55" s="235"/>
      <c r="D55" s="21">
        <f>IF(N10="","",SUM(C23:C49))</f>
        <v>83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84" t="s">
        <v>61</v>
      </c>
    </row>
    <row r="57" spans="1:14" ht="15.75" thickBot="1">
      <c r="A57" s="14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85">
        <f>MAX(N23:N49)</f>
        <v>1.34</v>
      </c>
    </row>
    <row r="59" ht="15.75" hidden="1" thickBot="1"/>
    <row r="60" spans="1:14" ht="15.75" hidden="1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195</v>
      </c>
    </row>
    <row r="61" spans="1:14" ht="18" hidden="1">
      <c r="A61" s="256" t="s">
        <v>62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</row>
    <row r="62" spans="1:14" ht="18" hidden="1">
      <c r="A62" s="192"/>
      <c r="B62" s="192"/>
      <c r="C62" s="192"/>
      <c r="D62" s="192"/>
      <c r="E62" s="192"/>
      <c r="F62" s="22" t="s">
        <v>111</v>
      </c>
      <c r="G62" s="192"/>
      <c r="H62" s="192"/>
      <c r="I62" s="192"/>
      <c r="J62" s="192"/>
      <c r="K62" s="192"/>
      <c r="L62" s="192"/>
      <c r="M62" s="192"/>
      <c r="N62" s="87"/>
    </row>
    <row r="63" spans="1:31" ht="15.75" hidden="1">
      <c r="A63" s="257" t="s">
        <v>112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160</v>
      </c>
      <c r="AE63" s="138" t="s">
        <v>166</v>
      </c>
    </row>
    <row r="64" spans="1:31" ht="16.5" hidden="1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161</v>
      </c>
      <c r="AE64" s="138">
        <v>0.65</v>
      </c>
    </row>
    <row r="65" spans="1:31" ht="15.75" hidden="1" thickBot="1">
      <c r="A65" s="25" t="s">
        <v>23</v>
      </c>
      <c r="B65" s="26"/>
      <c r="C65" s="88"/>
      <c r="D65" s="246" t="s">
        <v>64</v>
      </c>
      <c r="E65" s="246"/>
      <c r="F65" s="258" t="s">
        <v>92</v>
      </c>
      <c r="G65" s="259"/>
      <c r="H65" s="260" t="e">
        <f>+#REF!</f>
        <v>#REF!</v>
      </c>
      <c r="I65" s="261"/>
      <c r="J65" s="262"/>
      <c r="K65" s="263" t="s">
        <v>81</v>
      </c>
      <c r="L65" s="264"/>
      <c r="M65" s="265" t="e">
        <f>+#REF!</f>
        <v>#REF!</v>
      </c>
      <c r="N65" s="266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162</v>
      </c>
      <c r="AE65" s="138">
        <v>0.7</v>
      </c>
    </row>
    <row r="66" spans="1:31" ht="15.75" hidden="1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163</v>
      </c>
      <c r="AE66" s="138">
        <v>0.8</v>
      </c>
    </row>
    <row r="67" spans="1:31" ht="15.75" hidden="1" thickBot="1">
      <c r="A67" s="25" t="s">
        <v>24</v>
      </c>
      <c r="B67" s="26"/>
      <c r="C67" s="26"/>
      <c r="D67" s="245" t="s">
        <v>68</v>
      </c>
      <c r="E67" s="246"/>
      <c r="F67" s="247"/>
      <c r="G67" s="26"/>
      <c r="H67" s="29"/>
      <c r="I67" s="29"/>
      <c r="J67" s="26"/>
      <c r="K67" s="26"/>
      <c r="L67" s="26" t="s">
        <v>164</v>
      </c>
      <c r="M67" s="26"/>
      <c r="N67" s="208" t="s">
        <v>163</v>
      </c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hidden="1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 t="s">
        <v>168</v>
      </c>
      <c r="L68" s="205"/>
      <c r="M68" s="23"/>
      <c r="N68" s="43" t="str">
        <f>IF(N69="","",IF(N69="3F","220 / 127 V","240 / 120 V"))</f>
        <v>220 / 127 V</v>
      </c>
      <c r="AC68" s="141" t="s">
        <v>3</v>
      </c>
      <c r="AE68" s="138">
        <v>1</v>
      </c>
    </row>
    <row r="69" spans="1:24" ht="15.75" hidden="1" thickBot="1">
      <c r="A69" s="30" t="s">
        <v>26</v>
      </c>
      <c r="B69" s="18"/>
      <c r="C69" s="23"/>
      <c r="D69" s="248" t="s">
        <v>70</v>
      </c>
      <c r="E69" s="249"/>
      <c r="F69" s="18"/>
      <c r="G69" s="18"/>
      <c r="H69" s="18"/>
      <c r="I69" s="18"/>
      <c r="J69" s="18"/>
      <c r="K69" s="23"/>
      <c r="L69" s="18" t="s">
        <v>169</v>
      </c>
      <c r="M69" s="18"/>
      <c r="N69" s="151" t="s">
        <v>78</v>
      </c>
      <c r="U69" s="138" t="s">
        <v>64</v>
      </c>
      <c r="W69" s="138" t="s">
        <v>29</v>
      </c>
      <c r="X69" s="138" t="s">
        <v>78</v>
      </c>
    </row>
    <row r="70" spans="1:24" ht="15.75" hidden="1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1" t="s">
        <v>165</v>
      </c>
      <c r="L70" s="35"/>
      <c r="M70" s="18"/>
      <c r="N70" s="206">
        <v>0.8</v>
      </c>
      <c r="U70" s="138" t="s">
        <v>84</v>
      </c>
      <c r="W70" s="138">
        <v>10</v>
      </c>
      <c r="X70" s="138">
        <v>30</v>
      </c>
    </row>
    <row r="71" spans="1:24" ht="15.75" hidden="1" thickBot="1">
      <c r="A71" s="36" t="s">
        <v>71</v>
      </c>
      <c r="B71" s="37"/>
      <c r="C71" s="37"/>
      <c r="D71" s="150" t="s">
        <v>73</v>
      </c>
      <c r="E71" s="38"/>
      <c r="F71" s="39"/>
      <c r="G71" s="39"/>
      <c r="H71" s="39"/>
      <c r="I71" s="39"/>
      <c r="J71" s="37"/>
      <c r="K71" s="36"/>
      <c r="L71" s="37"/>
      <c r="M71" s="89" t="s">
        <v>30</v>
      </c>
      <c r="N71" s="190" t="s">
        <v>129</v>
      </c>
      <c r="U71" s="138" t="s">
        <v>85</v>
      </c>
      <c r="W71" s="138">
        <v>15</v>
      </c>
      <c r="X71" s="138">
        <v>50</v>
      </c>
    </row>
    <row r="72" spans="1:24" ht="15.75" hidden="1" thickBot="1">
      <c r="A72" s="41" t="s">
        <v>31</v>
      </c>
      <c r="B72" s="21"/>
      <c r="C72" s="21"/>
      <c r="D72" s="150">
        <v>19</v>
      </c>
      <c r="E72" s="21"/>
      <c r="F72" s="28"/>
      <c r="G72" s="42" t="s">
        <v>32</v>
      </c>
      <c r="H72" s="250" t="e">
        <f>+#REF!</f>
        <v>#REF!</v>
      </c>
      <c r="I72" s="251"/>
      <c r="J72" s="251"/>
      <c r="K72" s="41"/>
      <c r="L72" s="21"/>
      <c r="M72" s="115" t="s">
        <v>93</v>
      </c>
      <c r="N72" s="207">
        <f>+N73/N70</f>
        <v>118.72328783502078</v>
      </c>
      <c r="U72" s="138" t="s">
        <v>86</v>
      </c>
      <c r="W72" s="138">
        <v>25</v>
      </c>
      <c r="X72" s="138">
        <v>75</v>
      </c>
    </row>
    <row r="73" spans="1:24" ht="15.75" hidden="1" thickBot="1">
      <c r="A73" s="41" t="s">
        <v>34</v>
      </c>
      <c r="B73" s="21"/>
      <c r="C73" s="21"/>
      <c r="D73" s="162">
        <v>330</v>
      </c>
      <c r="E73" s="41"/>
      <c r="F73" s="28"/>
      <c r="G73" s="42" t="s">
        <v>35</v>
      </c>
      <c r="H73" s="252" t="e">
        <f>+#REF!</f>
        <v>#REF!</v>
      </c>
      <c r="I73" s="253"/>
      <c r="J73" s="253"/>
      <c r="K73" s="41"/>
      <c r="L73" s="21"/>
      <c r="M73" s="115" t="s">
        <v>167</v>
      </c>
      <c r="N73" s="116">
        <f>IF($N$67="","",IF($N$67="INDUSTRIAL",IF(OR(D65="",D71="",D72=""),"",(IF(OR(D65="SAN CRISTOBAL",D65="FLOREANA"),VLOOKUP(D72,'Estratos SCY - FLO'!$A$4:$M$108,IF(D71="A1",2,IF(D71="A",5,IF(D71="B",8,11))),0),VLOOKUP(D72,'Estratos SCX - ISA'!$A$4:$M$108,IF(D71="A1",2,IF(D71="A",5,IF(D71="B",8,11))),0))+D73/920)*N70),IF(OR(D65="",D71="",D72=""),"",(IF(OR(D65="SAN CRISTOBAL",D65="FLOREANA"),VLOOKUP(D72,'Estratos SCY - FLO'!$O$4:$S$108,IF(D71="A1",2,IF(D71="A",3,IF(D71="B",4,5))),0),VLOOKUP(D72,'Estratos SCX - ISA'!$O$4:$S$108,IF(D71="A1",2,IF(D71="A",3,IF(D71="B",4,5))),0))+D73/920)*N70)))</f>
        <v>94.97863026801663</v>
      </c>
      <c r="U73" s="138" t="s">
        <v>87</v>
      </c>
      <c r="W73" s="138">
        <v>37.5</v>
      </c>
      <c r="X73" s="138">
        <v>100</v>
      </c>
    </row>
    <row r="74" spans="1:24" ht="37.5" customHeight="1" hidden="1" thickBot="1">
      <c r="A74" s="254" t="str">
        <f>+IF(OR(N67="INDUSTRIAL"),"NOTA: Estratos:  A1 (Consumo-Alto); A (Consumo-Medio); B(Consumo-Bajo); C(Consumo-Mínimo)",IF(N67="","","NOTA: Estratos:  A1 (Casco Urbano-Sector hotelero);A (Barrios Centricos); B(Zona Periferica); C(Zona Rural)"))</f>
        <v>NOTA: Estratos:  A1 (Consumo-Alto); A (Consumo-Medio); B(Consumo-Bajo); C(Consumo-Mínimo)</v>
      </c>
      <c r="B74" s="255"/>
      <c r="C74" s="255"/>
      <c r="D74" s="255"/>
      <c r="E74" s="255"/>
      <c r="F74" s="255"/>
      <c r="G74" s="255"/>
      <c r="H74" s="255"/>
      <c r="I74" s="255"/>
      <c r="J74" s="255"/>
      <c r="K74" s="44"/>
      <c r="L74" s="34"/>
      <c r="M74" s="130" t="str">
        <f>+IF(OR(N69="",D71="",D72=""),"","POT. NOMINAL TRAFO. (KVA):")</f>
        <v>POT. NOMINAL TRAFO. (KVA):</v>
      </c>
      <c r="N74" s="117">
        <f>IF(OR(N69="",N70="",N70=0),"",IF(N69="1F",IF(N73&lt;$W$11,$W$11,IF(AND(N73&gt;$W$11,N73&lt;$W$12),$W$12,IF(AND(N73&gt;$W$12,N73&lt;$W$13),$W$13,IF(AND(N73&gt;$W$13,N73&lt;$W$14),$W$14,IF(AND(N73&gt;$W$14,N73&lt;$W$15),$W$15,IF(AND(N73&gt;$W$15,N73&lt;$W$16),$W$16,IF(AND(N73&gt;$W$16,N73&lt;$W$17),$W$17,IF(AND(N73&gt;$W$17,N73&lt;$W$18),$W$18,IF(AND(N73&gt;$W$18,N73&lt;$W$19),$W$19,""))))))))),IF($N$73&lt;$X$11,$X$11,IF(AND(N73&gt;$X$11,N73&lt;$X$12),$X$12,IF(AND(N73&gt;$X$12,N73&lt;$X$13),$X$13,IF(AND(N73&gt;$X$13,N73&lt;$X$14),$X$14,IF(AND(N73&gt;$X$14,N73&lt;$X$15),$X$15,IF(AND(N73&gt;$X$15,N73&lt;$X$16),$X$16,IF(AND(N73&gt;$X$16,N73&lt;$X$17),$X$17,"")))))))))</f>
        <v>100</v>
      </c>
      <c r="U74" s="138" t="s">
        <v>88</v>
      </c>
      <c r="W74" s="138">
        <v>50</v>
      </c>
      <c r="X74" s="138">
        <v>125</v>
      </c>
    </row>
    <row r="75" spans="1:24" ht="15.75" hidden="1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hidden="1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hidden="1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/>
      <c r="L77" s="21" t="s">
        <v>186</v>
      </c>
      <c r="M77" s="21"/>
      <c r="N77" s="163"/>
      <c r="U77" s="138" t="s">
        <v>91</v>
      </c>
      <c r="W77" s="138">
        <v>112.5</v>
      </c>
    </row>
    <row r="78" spans="1:23" ht="15.75" hidden="1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102</v>
      </c>
      <c r="M78" s="142"/>
      <c r="N78" s="163" t="s">
        <v>130</v>
      </c>
      <c r="W78" s="138">
        <v>125</v>
      </c>
    </row>
    <row r="79" spans="1:14" ht="15.75" hidden="1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hidden="1" thickBot="1">
      <c r="A80" s="240" t="s">
        <v>38</v>
      </c>
      <c r="B80" s="241"/>
      <c r="C80" s="52" t="s">
        <v>39</v>
      </c>
      <c r="D80" s="52" t="s">
        <v>40</v>
      </c>
      <c r="E80" s="53" t="s">
        <v>41</v>
      </c>
      <c r="F80" s="53" t="s">
        <v>42</v>
      </c>
      <c r="G80" s="240" t="s">
        <v>43</v>
      </c>
      <c r="H80" s="242"/>
      <c r="I80" s="242"/>
      <c r="J80" s="241"/>
      <c r="K80" s="243" t="s">
        <v>44</v>
      </c>
      <c r="L80" s="242" t="s">
        <v>45</v>
      </c>
      <c r="M80" s="242"/>
      <c r="N80" s="241"/>
      <c r="U80" s="232" t="s">
        <v>98</v>
      </c>
      <c r="V80" s="232" t="s">
        <v>99</v>
      </c>
    </row>
    <row r="81" spans="1:22" ht="15.75" hidden="1" thickBot="1">
      <c r="A81" s="52" t="s">
        <v>46</v>
      </c>
      <c r="B81" s="52" t="s">
        <v>47</v>
      </c>
      <c r="C81" s="54" t="s">
        <v>48</v>
      </c>
      <c r="D81" s="54" t="s">
        <v>49</v>
      </c>
      <c r="E81" s="55" t="s">
        <v>50</v>
      </c>
      <c r="F81" s="55" t="s">
        <v>51</v>
      </c>
      <c r="G81" s="56" t="s">
        <v>52</v>
      </c>
      <c r="H81" s="43" t="s">
        <v>105</v>
      </c>
      <c r="I81" s="124" t="s">
        <v>106</v>
      </c>
      <c r="J81" s="43" t="s">
        <v>53</v>
      </c>
      <c r="K81" s="244"/>
      <c r="L81" s="53" t="s">
        <v>54</v>
      </c>
      <c r="M81" s="43" t="s">
        <v>55</v>
      </c>
      <c r="N81" s="57" t="s">
        <v>56</v>
      </c>
      <c r="U81" s="232"/>
      <c r="V81" s="232"/>
    </row>
    <row r="82" spans="1:22" ht="15" hidden="1">
      <c r="A82" s="191" t="str">
        <f>IF(N78="","",N78)</f>
        <v>P18</v>
      </c>
      <c r="B82" s="164" t="s">
        <v>133</v>
      </c>
      <c r="C82" s="165">
        <v>29</v>
      </c>
      <c r="D82" s="165">
        <v>7</v>
      </c>
      <c r="E82" s="166">
        <v>110</v>
      </c>
      <c r="F82" s="193">
        <f>IF($N$67="","",IF($N$67="INDUSTRIAL",IF(OR($D$65="",$D$71=""),"",IF(OR(D82&gt;$D$72,E82&gt;$D$73),"Rev. Total. abona.",IF(D82="",IF(E82="","",E82/(0.92*1000)),IF(OR($D$65="SAN CRISTOBAL",$D$65="FLOREANA"),VLOOKUP(D82,'Estratos SCY - FLO'!$A$4:$M$108,IF($D$71="A1",2,IF($D$71="A",5,IF($D$71="B",8,11))))+E82/(0.92*1000),VLOOKUP(D82,'Estratos SCX - ISA'!$A$3:$M$107,IF($D$71="A1",2,IF($D$71="A",5,IF($D$71="B",8,11))))+E82/(0.92*1000))))),IF(OR($D$65="",$D$71=""),"",IF(OR(D82&gt;$D$72,E82&gt;$D$73),"Rev. Total. abona.",IF(D82="",IF(E82="","",E82/(0.92*1000)),IF(OR($D$65="SAN CRISTOBAL",$D$65="FLOREANA"),VLOOKUP(D82,'Estratos SCY - FLO'!$O$4:$S$108,IF($D$71="A1",2,IF($D$71="A",3,IF($D$71="B",4,5))))+E82/(0.92*1000),VLOOKUP(D82,'Estratos SCX - ISA'!$O$4:$S$108,IF($D$71="A1",2,IF($D$71="A",3,IF($D$71="B",4,5))))+E82/(0.92*1000)))))))</f>
        <v>47.828008479129984</v>
      </c>
      <c r="G82" s="95">
        <f>IF(OR($N$10="",C82=""),"",IF($N$10="1F",1,3))</f>
        <v>1</v>
      </c>
      <c r="H82" s="182" t="s">
        <v>1</v>
      </c>
      <c r="I82" s="182" t="s">
        <v>1</v>
      </c>
      <c r="J82" s="95">
        <f>IF(OR(H82="",$D$10="",$N$10=""),"",IF($D$10="COBRE",VLOOKUP(CDV_PROY_BT!H82,FDV!$B$16:$E$24,IF(CDV_PROY_BT!$N$10="3F",3,4),FALSE),IF($D$10="ACS",VLOOKUP(CDV_PROY_BT!H82,FDV!$B$10:$E$15,IF(CDV_PROY_BT!$N$10="3F",3,4),FALSE),IF($D$10="5005 (PREENSAMBLADO)",VLOOKUP(CDV_PROY_BT!H82,FDV!$B$4:$E$9,IF(CDV_PROY_BT!$N$10="3F",3,4),FALSE),VLOOKUP(CDV_PROY_BT!H82,FDV!$B$25:$E$30,IF(CDV_PROY_BT!$N$10="3F",3,4),FALSE)))))</f>
        <v>495</v>
      </c>
      <c r="K82" s="60">
        <f aca="true" t="shared" si="9" ref="K82:K109">IF(C82="","",ROUND(F82*C82,0))</f>
        <v>1387</v>
      </c>
      <c r="L82" s="61">
        <f>IF($N$19="","",IF(C82="","",ROUND(K82/J82,2)))</f>
        <v>2.8</v>
      </c>
      <c r="M82" s="61">
        <f>IF(C82="","",VLOOKUP(A82,$B$82:$N$109,12,FALSE)+L82+N77)</f>
        <v>2.8</v>
      </c>
      <c r="N82" s="154">
        <f>+M82</f>
        <v>2.8</v>
      </c>
      <c r="U82" s="138">
        <f>+IF(C82="",0,C82)</f>
        <v>29</v>
      </c>
      <c r="V82" s="138">
        <f>IF(OR(C82="",G82=""),0,C82*G82)</f>
        <v>29</v>
      </c>
    </row>
    <row r="83" spans="1:22" ht="15" hidden="1">
      <c r="A83" s="167" t="s">
        <v>130</v>
      </c>
      <c r="B83" s="168" t="s">
        <v>131</v>
      </c>
      <c r="C83" s="169">
        <v>29</v>
      </c>
      <c r="D83" s="169">
        <v>8</v>
      </c>
      <c r="E83" s="170">
        <v>110</v>
      </c>
      <c r="F83" s="62">
        <f>IF($N$67="","",IF($N$67="INDUSTRIAL",IF(OR($D$65="",$D$71=""),"",IF(OR(D83&gt;$D$72,E83&gt;$D$73),"Rev. Total. abona.",IF(D83="",IF(E83="","",E83/(0.92*1000)),IF(OR($D$65="SAN CRISTOBAL",$D$65="FLOREANA"),VLOOKUP(D83,'Estratos SCY - FLO'!$A$4:$M$108,IF($D$71="A1",2,IF($D$71="A",5,IF($D$71="B",8,11))))+E83/(0.92*1000),VLOOKUP(D83,'Estratos SCX - ISA'!$A$3:$M$107,IF($D$71="A1",2,IF($D$71="A",5,IF($D$71="B",8,11))))+E83/(0.92*1000))))),IF(OR($D$65="",$D$71=""),"",IF(OR(D83&gt;$D$72,E83&gt;$D$73),"Rev. Total. abona.",IF(D83="",IF(E83="","",E83/(0.92*1000)),IF(OR($D$65="SAN CRISTOBAL",$D$65="FLOREANA"),VLOOKUP(D83,'Estratos SCY - FLO'!$O$4:$S$108,IF($D$71="A1",2,IF($D$71="A",3,IF($D$71="B",4,5))))+E83/(0.92*1000),VLOOKUP(D83,'Estratos SCX - ISA'!$O$4:$S$108,IF($D$71="A1",2,IF($D$71="A",3,IF($D$71="B",4,5))))+E83/(0.92*1000)))))))</f>
        <v>53.99216291349743</v>
      </c>
      <c r="G83" s="59">
        <f aca="true" t="shared" si="10" ref="G83:G109">IF(OR($N$10="",C83=""),"",IF($N$10="1F",1,3))</f>
        <v>1</v>
      </c>
      <c r="H83" s="183" t="s">
        <v>1</v>
      </c>
      <c r="I83" s="183" t="s">
        <v>1</v>
      </c>
      <c r="J83" s="59">
        <f>IF(OR(H83="",$D$10="",$N$10=""),"",IF($D$10="COBRE",VLOOKUP(CDV_PROY_BT!H83,FDV!$B$16:$E$24,IF(CDV_PROY_BT!$N$10="3F",3,4),FALSE),IF($D$10="ACS",VLOOKUP(CDV_PROY_BT!H83,FDV!$B$10:$E$15,IF(CDV_PROY_BT!$N$10="3F",3,4),FALSE),IF($D$10="5005 (PREENSAMBLADO)",VLOOKUP(CDV_PROY_BT!H83,FDV!$B$4:$E$9,IF(CDV_PROY_BT!$N$10="3F",3,4),FALSE),VLOOKUP(CDV_PROY_BT!H83,FDV!$B$25:$E$30,IF(CDV_PROY_BT!$N$10="3F",3,4),FALSE)))))</f>
        <v>495</v>
      </c>
      <c r="K83" s="63">
        <f t="shared" si="9"/>
        <v>1566</v>
      </c>
      <c r="L83" s="62">
        <f aca="true" t="shared" si="11" ref="L83:L108">IF($N$19="","",IF(C83="","",ROUND(K83/J83,2)))</f>
        <v>3.16</v>
      </c>
      <c r="M83" s="62">
        <f aca="true" t="shared" si="12" ref="M83:M108">IF(C83="","",VLOOKUP(A83,$B$82:$N$109,12,FALSE)+L83)</f>
        <v>3.16</v>
      </c>
      <c r="N83" s="155">
        <f>+M83</f>
        <v>3.16</v>
      </c>
      <c r="U83" s="138">
        <f aca="true" t="shared" si="13" ref="U83:U108">+IF(C83="",0,C83)</f>
        <v>29</v>
      </c>
      <c r="V83" s="138">
        <f aca="true" t="shared" si="14" ref="V83:V108">IF(OR(C83="",G83=""),0,C83*G83)</f>
        <v>29</v>
      </c>
    </row>
    <row r="84" spans="1:22" ht="15" hidden="1">
      <c r="A84" s="167"/>
      <c r="B84" s="168"/>
      <c r="C84" s="169"/>
      <c r="D84" s="169"/>
      <c r="E84" s="170"/>
      <c r="F84" s="58" t="str">
        <f>IF($N$67="","",IF($N$67="INDUSTRIAL",IF(OR($D$65="",$D$71=""),"",IF(OR(D84&gt;$D$72,E84&gt;$D$73),"Rev. Total. abona.",IF(D84="",IF(E84="","",E84/(0.92*1000)),IF(OR($D$65="SAN CRISTOBAL",$D$65="FLOREANA"),VLOOKUP(D84,'Estratos SCY - FLO'!$A$4:$M$108,IF($D$71="A1",2,IF($D$71="A",5,IF($D$71="B",8,11))))+E84/(0.92*1000),VLOOKUP(D84,'Estratos SCX - ISA'!$A$3:$M$107,IF($D$71="A1",2,IF($D$71="A",5,IF($D$71="B",8,11))))+E84/(0.92*1000))))),IF(OR($D$65="",$D$71=""),"",IF(OR(D84&gt;$D$72,E84&gt;$D$73),"Rev. Total. abona.",IF(D84="",IF(E84="","",E84/(0.92*1000)),IF(OR($D$65="SAN CRISTOBAL",$D$65="FLOREANA"),VLOOKUP(D84,'Estratos SCY - FLO'!$O$4:$S$108,IF($D$71="A1",2,IF($D$71="A",3,IF($D$71="B",4,5))))+E84/(0.92*1000),VLOOKUP(D84,'Estratos SCX - ISA'!$O$4:$S$108,IF($D$71="A1",2,IF($D$71="A",3,IF($D$71="B",4,5))))+E84/(0.92*1000)))))))</f>
        <v/>
      </c>
      <c r="G84" s="59" t="str">
        <f t="shared" si="10"/>
        <v/>
      </c>
      <c r="H84" s="183"/>
      <c r="I84" s="183"/>
      <c r="J84" s="59" t="str">
        <f>IF(OR(H84="",$D$10="",$N$10=""),"",IF($D$10="COBRE",VLOOKUP(CDV_PROY_BT!H84,FDV!$B$16:$E$24,IF(CDV_PROY_BT!$N$10="3F",3,4),FALSE),IF($D$10="ACS",VLOOKUP(CDV_PROY_BT!H84,FDV!$B$10:$E$15,IF(CDV_PROY_BT!$N$10="3F",3,4),FALSE),IF($D$10="5005 (PREENSAMBLADO)",VLOOKUP(CDV_PROY_BT!H84,FDV!$B$4:$E$9,IF(CDV_PROY_BT!$N$10="3F",3,4),FALSE),VLOOKUP(CDV_PROY_BT!H84,FDV!$B$25:$E$30,IF(CDV_PROY_BT!$N$10="3F",3,4),FALSE)))))</f>
        <v/>
      </c>
      <c r="K84" s="63" t="str">
        <f t="shared" si="9"/>
        <v/>
      </c>
      <c r="L84" s="62" t="str">
        <f t="shared" si="11"/>
        <v/>
      </c>
      <c r="M84" s="62" t="str">
        <f t="shared" si="12"/>
        <v/>
      </c>
      <c r="N84" s="155"/>
      <c r="U84" s="138">
        <f t="shared" si="13"/>
        <v>0</v>
      </c>
      <c r="V84" s="138">
        <f t="shared" si="14"/>
        <v>0</v>
      </c>
    </row>
    <row r="85" spans="1:22" ht="15" hidden="1">
      <c r="A85" s="167"/>
      <c r="B85" s="168"/>
      <c r="C85" s="169"/>
      <c r="D85" s="169"/>
      <c r="E85" s="170"/>
      <c r="F85" s="58" t="str">
        <f>IF($N$67="","",IF($N$67="INDUSTRIAL",IF(OR($D$65="",$D$71=""),"",IF(OR(D85&gt;$D$72,E85&gt;$D$73),"Rev. Total. abona.",IF(D85="",IF(E85="","",E85/(0.92*1000)),IF(OR($D$65="SAN CRISTOBAL",$D$65="FLOREANA"),VLOOKUP(D85,'Estratos SCY - FLO'!$A$4:$M$108,IF($D$71="A1",2,IF($D$71="A",5,IF($D$71="B",8,11))))+E85/(0.92*1000),VLOOKUP(D85,'Estratos SCX - ISA'!$A$3:$M$107,IF($D$71="A1",2,IF($D$71="A",5,IF($D$71="B",8,11))))+E85/(0.92*1000))))),IF(OR($D$65="",$D$71=""),"",IF(OR(D85&gt;$D$72,E85&gt;$D$73),"Rev. Total. abona.",IF(D85="",IF(E85="","",E85/(0.92*1000)),IF(OR($D$65="SAN CRISTOBAL",$D$65="FLOREANA"),VLOOKUP(D85,'Estratos SCY - FLO'!$O$4:$S$108,IF($D$71="A1",2,IF($D$71="A",3,IF($D$71="B",4,5))))+E85/(0.92*1000),VLOOKUP(D85,'Estratos SCX - ISA'!$O$4:$S$108,IF($D$71="A1",2,IF($D$71="A",3,IF($D$71="B",4,5))))+E85/(0.92*1000)))))))</f>
        <v/>
      </c>
      <c r="G85" s="59" t="str">
        <f t="shared" si="10"/>
        <v/>
      </c>
      <c r="H85" s="183"/>
      <c r="I85" s="183"/>
      <c r="J85" s="59" t="str">
        <f>IF(OR(H85="",$D$10="",$N$10=""),"",IF($D$10="COBRE",VLOOKUP(CDV_PROY_BT!H85,FDV!$B$16:$E$24,IF(CDV_PROY_BT!$N$10="3F",3,4),FALSE),IF($D$10="ACS",VLOOKUP(CDV_PROY_BT!H85,FDV!$B$10:$E$15,IF(CDV_PROY_BT!$N$10="3F",3,4),FALSE),IF($D$10="5005 (PREENSAMBLADO)",VLOOKUP(CDV_PROY_BT!H85,FDV!$B$4:$E$9,IF(CDV_PROY_BT!$N$10="3F",3,4),FALSE),VLOOKUP(CDV_PROY_BT!H85,FDV!$B$25:$E$30,IF(CDV_PROY_BT!$N$10="3F",3,4),FALSE)))))</f>
        <v/>
      </c>
      <c r="K85" s="63" t="str">
        <f t="shared" si="9"/>
        <v/>
      </c>
      <c r="L85" s="62" t="str">
        <f t="shared" si="11"/>
        <v/>
      </c>
      <c r="M85" s="62" t="str">
        <f t="shared" si="12"/>
        <v/>
      </c>
      <c r="N85" s="155"/>
      <c r="U85" s="138">
        <f t="shared" si="13"/>
        <v>0</v>
      </c>
      <c r="V85" s="138">
        <f t="shared" si="14"/>
        <v>0</v>
      </c>
    </row>
    <row r="86" spans="1:22" ht="15" hidden="1">
      <c r="A86" s="167"/>
      <c r="B86" s="168"/>
      <c r="C86" s="169"/>
      <c r="D86" s="169"/>
      <c r="E86" s="170"/>
      <c r="F86" s="58" t="str">
        <f>IF($N$67="","",IF($N$67="INDUSTRIAL",IF(OR($D$65="",$D$71=""),"",IF(OR(D86&gt;$D$72,E86&gt;$D$73),"Rev. Total. abona.",IF(D86="",IF(E86="","",E86/(0.92*1000)),IF(OR($D$65="SAN CRISTOBAL",$D$65="FLOREANA"),VLOOKUP(D86,'Estratos SCY - FLO'!$A$4:$M$108,IF($D$71="A1",2,IF($D$71="A",5,IF($D$71="B",8,11))))+E86/(0.92*1000),VLOOKUP(D86,'Estratos SCX - ISA'!$A$3:$M$107,IF($D$71="A1",2,IF($D$71="A",5,IF($D$71="B",8,11))))+E86/(0.92*1000))))),IF(OR($D$65="",$D$71=""),"",IF(OR(D86&gt;$D$72,E86&gt;$D$73),"Rev. Total. abona.",IF(D86="",IF(E86="","",E86/(0.92*1000)),IF(OR($D$65="SAN CRISTOBAL",$D$65="FLOREANA"),VLOOKUP(D86,'Estratos SCY - FLO'!$O$4:$S$108,IF($D$71="A1",2,IF($D$71="A",3,IF($D$71="B",4,5))))+E86/(0.92*1000),VLOOKUP(D86,'Estratos SCX - ISA'!$O$4:$S$108,IF($D$71="A1",2,IF($D$71="A",3,IF($D$71="B",4,5))))+E86/(0.92*1000)))))))</f>
        <v/>
      </c>
      <c r="G86" s="59" t="str">
        <f t="shared" si="10"/>
        <v/>
      </c>
      <c r="H86" s="183"/>
      <c r="I86" s="183"/>
      <c r="J86" s="59" t="str">
        <f>IF(OR(H86="",$D$10="",$N$10=""),"",IF($D$10="COBRE",VLOOKUP(CDV_PROY_BT!H86,FDV!$B$16:$E$24,IF(CDV_PROY_BT!$N$10="3F",3,4),FALSE),IF($D$10="ACS",VLOOKUP(CDV_PROY_BT!H86,FDV!$B$10:$E$15,IF(CDV_PROY_BT!$N$10="3F",3,4),FALSE),IF($D$10="5005 (PREENSAMBLADO)",VLOOKUP(CDV_PROY_BT!H86,FDV!$B$4:$E$9,IF(CDV_PROY_BT!$N$10="3F",3,4),FALSE),VLOOKUP(CDV_PROY_BT!H86,FDV!$B$25:$E$30,IF(CDV_PROY_BT!$N$10="3F",3,4),FALSE)))))</f>
        <v/>
      </c>
      <c r="K86" s="63" t="str">
        <f t="shared" si="9"/>
        <v/>
      </c>
      <c r="L86" s="62" t="str">
        <f t="shared" si="11"/>
        <v/>
      </c>
      <c r="M86" s="62" t="str">
        <f t="shared" si="12"/>
        <v/>
      </c>
      <c r="N86" s="155"/>
      <c r="U86" s="138">
        <f t="shared" si="13"/>
        <v>0</v>
      </c>
      <c r="V86" s="138">
        <f t="shared" si="14"/>
        <v>0</v>
      </c>
    </row>
    <row r="87" spans="1:22" ht="15" hidden="1">
      <c r="A87" s="167"/>
      <c r="B87" s="168"/>
      <c r="C87" s="169"/>
      <c r="D87" s="169"/>
      <c r="E87" s="170"/>
      <c r="F87" s="58" t="str">
        <f>IF($N$67="","",IF($N$67="INDUSTRIAL",IF(OR($D$65="",$D$71=""),"",IF(OR(D87&gt;$D$72,E87&gt;$D$73),"Rev. Total. abona.",IF(D87="",IF(E87="","",E87/(0.92*1000)),IF(OR($D$65="SAN CRISTOBAL",$D$65="FLOREANA"),VLOOKUP(D87,'Estratos SCY - FLO'!$A$4:$M$108,IF($D$71="A1",2,IF($D$71="A",5,IF($D$71="B",8,11))))+E87/(0.92*1000),VLOOKUP(D87,'Estratos SCX - ISA'!$A$3:$M$107,IF($D$71="A1",2,IF($D$71="A",5,IF($D$71="B",8,11))))+E87/(0.92*1000))))),IF(OR($D$65="",$D$71=""),"",IF(OR(D87&gt;$D$72,E87&gt;$D$73),"Rev. Total. abona.",IF(D87="",IF(E87="","",E87/(0.92*1000)),IF(OR($D$65="SAN CRISTOBAL",$D$65="FLOREANA"),VLOOKUP(D87,'Estratos SCY - FLO'!$O$4:$S$108,IF($D$71="A1",2,IF($D$71="A",3,IF($D$71="B",4,5))))+E87/(0.92*1000),VLOOKUP(D87,'Estratos SCX - ISA'!$O$4:$S$108,IF($D$71="A1",2,IF($D$71="A",3,IF($D$71="B",4,5))))+E87/(0.92*1000)))))))</f>
        <v/>
      </c>
      <c r="G87" s="59" t="str">
        <f t="shared" si="10"/>
        <v/>
      </c>
      <c r="H87" s="183"/>
      <c r="I87" s="183"/>
      <c r="J87" s="59" t="str">
        <f>IF(OR(H87="",$D$10="",$N$10=""),"",IF($D$10="COBRE",VLOOKUP(CDV_PROY_BT!H87,FDV!$B$16:$E$24,IF(CDV_PROY_BT!$N$10="3F",3,4),FALSE),IF($D$10="ACS",VLOOKUP(CDV_PROY_BT!H87,FDV!$B$10:$E$15,IF(CDV_PROY_BT!$N$10="3F",3,4),FALSE),IF($D$10="5005 (PREENSAMBLADO)",VLOOKUP(CDV_PROY_BT!H87,FDV!$B$4:$E$9,IF(CDV_PROY_BT!$N$10="3F",3,4),FALSE),VLOOKUP(CDV_PROY_BT!H87,FDV!$B$25:$E$30,IF(CDV_PROY_BT!$N$10="3F",3,4),FALSE)))))</f>
        <v/>
      </c>
      <c r="K87" s="63" t="str">
        <f t="shared" si="9"/>
        <v/>
      </c>
      <c r="L87" s="62" t="str">
        <f t="shared" si="11"/>
        <v/>
      </c>
      <c r="M87" s="62" t="str">
        <f t="shared" si="12"/>
        <v/>
      </c>
      <c r="N87" s="155"/>
      <c r="U87" s="138">
        <f t="shared" si="13"/>
        <v>0</v>
      </c>
      <c r="V87" s="138">
        <f t="shared" si="14"/>
        <v>0</v>
      </c>
    </row>
    <row r="88" spans="1:22" ht="15" hidden="1">
      <c r="A88" s="167"/>
      <c r="B88" s="168"/>
      <c r="C88" s="169"/>
      <c r="D88" s="169"/>
      <c r="E88" s="170"/>
      <c r="F88" s="58" t="str">
        <f>IF($N$67="","",IF($N$67="INDUSTRIAL",IF(OR($D$65="",$D$71=""),"",IF(OR(D88&gt;$D$72,E88&gt;$D$73),"Rev. Total. abona.",IF(D88="",IF(E88="","",E88/(0.92*1000)),IF(OR($D$65="SAN CRISTOBAL",$D$65="FLOREANA"),VLOOKUP(D88,'Estratos SCY - FLO'!$A$4:$M$108,IF($D$71="A1",2,IF($D$71="A",5,IF($D$71="B",8,11))))+E88/(0.92*1000),VLOOKUP(D88,'Estratos SCX - ISA'!$A$3:$M$107,IF($D$71="A1",2,IF($D$71="A",5,IF($D$71="B",8,11))))+E88/(0.92*1000))))),IF(OR($D$65="",$D$71=""),"",IF(OR(D88&gt;$D$72,E88&gt;$D$73),"Rev. Total. abona.",IF(D88="",IF(E88="","",E88/(0.92*1000)),IF(OR($D$65="SAN CRISTOBAL",$D$65="FLOREANA"),VLOOKUP(D88,'Estratos SCY - FLO'!$O$4:$S$108,IF($D$71="A1",2,IF($D$71="A",3,IF($D$71="B",4,5))))+E88/(0.92*1000),VLOOKUP(D88,'Estratos SCX - ISA'!$O$4:$S$108,IF($D$71="A1",2,IF($D$71="A",3,IF($D$71="B",4,5))))+E88/(0.92*1000)))))))</f>
        <v/>
      </c>
      <c r="G88" s="59" t="str">
        <f t="shared" si="10"/>
        <v/>
      </c>
      <c r="H88" s="183"/>
      <c r="I88" s="183"/>
      <c r="J88" s="59" t="str">
        <f>IF(OR(H88="",$D$10="",$N$10=""),"",IF($D$10="COBRE",VLOOKUP(CDV_PROY_BT!H88,FDV!$B$16:$E$24,IF(CDV_PROY_BT!$N$10="3F",3,4),FALSE),IF($D$10="ACS",VLOOKUP(CDV_PROY_BT!H88,FDV!$B$10:$E$15,IF(CDV_PROY_BT!$N$10="3F",3,4),FALSE),IF($D$10="5005 (PREENSAMBLADO)",VLOOKUP(CDV_PROY_BT!H88,FDV!$B$4:$E$9,IF(CDV_PROY_BT!$N$10="3F",3,4),FALSE),VLOOKUP(CDV_PROY_BT!H88,FDV!$B$25:$E$30,IF(CDV_PROY_BT!$N$10="3F",3,4),FALSE)))))</f>
        <v/>
      </c>
      <c r="K88" s="63" t="str">
        <f t="shared" si="9"/>
        <v/>
      </c>
      <c r="L88" s="62" t="str">
        <f t="shared" si="11"/>
        <v/>
      </c>
      <c r="M88" s="62" t="str">
        <f t="shared" si="12"/>
        <v/>
      </c>
      <c r="N88" s="155"/>
      <c r="U88" s="138">
        <f t="shared" si="13"/>
        <v>0</v>
      </c>
      <c r="V88" s="138">
        <f t="shared" si="14"/>
        <v>0</v>
      </c>
    </row>
    <row r="89" spans="1:22" ht="15" hidden="1">
      <c r="A89" s="167"/>
      <c r="B89" s="168"/>
      <c r="C89" s="169"/>
      <c r="D89" s="169"/>
      <c r="E89" s="170"/>
      <c r="F89" s="58" t="str">
        <f>IF($N$67="","",IF($N$67="INDUSTRIAL",IF(OR($D$65="",$D$71=""),"",IF(OR(D89&gt;$D$72,E89&gt;$D$73),"Rev. Total. abona.",IF(D89="",IF(E89="","",E89/(0.92*1000)),IF(OR($D$65="SAN CRISTOBAL",$D$65="FLOREANA"),VLOOKUP(D89,'Estratos SCY - FLO'!$A$4:$M$108,IF($D$71="A1",2,IF($D$71="A",5,IF($D$71="B",8,11))))+E89/(0.92*1000),VLOOKUP(D89,'Estratos SCX - ISA'!$A$3:$M$107,IF($D$71="A1",2,IF($D$71="A",5,IF($D$71="B",8,11))))+E89/(0.92*1000))))),IF(OR($D$65="",$D$71=""),"",IF(OR(D89&gt;$D$72,E89&gt;$D$73),"Rev. Total. abona.",IF(D89="",IF(E89="","",E89/(0.92*1000)),IF(OR($D$65="SAN CRISTOBAL",$D$65="FLOREANA"),VLOOKUP(D89,'Estratos SCY - FLO'!$O$4:$S$108,IF($D$71="A1",2,IF($D$71="A",3,IF($D$71="B",4,5))))+E89/(0.92*1000),VLOOKUP(D89,'Estratos SCX - ISA'!$O$4:$S$108,IF($D$71="A1",2,IF($D$71="A",3,IF($D$71="B",4,5))))+E89/(0.92*1000)))))))</f>
        <v/>
      </c>
      <c r="G89" s="59" t="str">
        <f t="shared" si="10"/>
        <v/>
      </c>
      <c r="H89" s="183"/>
      <c r="I89" s="183"/>
      <c r="J89" s="59" t="str">
        <f>IF(OR(H89="",$D$10="",$N$10=""),"",IF($D$10="COBRE",VLOOKUP(CDV_PROY_BT!H89,FDV!$B$16:$E$24,IF(CDV_PROY_BT!$N$10="3F",3,4),FALSE),IF($D$10="ACS",VLOOKUP(CDV_PROY_BT!H89,FDV!$B$10:$E$15,IF(CDV_PROY_BT!$N$10="3F",3,4),FALSE),IF($D$10="5005 (PREENSAMBLADO)",VLOOKUP(CDV_PROY_BT!H89,FDV!$B$4:$E$9,IF(CDV_PROY_BT!$N$10="3F",3,4),FALSE),VLOOKUP(CDV_PROY_BT!H89,FDV!$B$25:$E$30,IF(CDV_PROY_BT!$N$10="3F",3,4),FALSE)))))</f>
        <v/>
      </c>
      <c r="K89" s="63" t="str">
        <f t="shared" si="9"/>
        <v/>
      </c>
      <c r="L89" s="62" t="str">
        <f t="shared" si="11"/>
        <v/>
      </c>
      <c r="M89" s="62" t="str">
        <f t="shared" si="12"/>
        <v/>
      </c>
      <c r="N89" s="155"/>
      <c r="U89" s="138">
        <f t="shared" si="13"/>
        <v>0</v>
      </c>
      <c r="V89" s="138">
        <f t="shared" si="14"/>
        <v>0</v>
      </c>
    </row>
    <row r="90" spans="1:22" ht="15" hidden="1">
      <c r="A90" s="171"/>
      <c r="B90" s="172"/>
      <c r="C90" s="173"/>
      <c r="D90" s="173"/>
      <c r="E90" s="170"/>
      <c r="F90" s="58" t="str">
        <f>IF($N$67="","",IF($N$67="INDUSTRIAL",IF(OR($D$65="",$D$71=""),"",IF(OR(D90&gt;$D$72,E90&gt;$D$73),"Rev. Total. abona.",IF(D90="",IF(E90="","",E90/(0.92*1000)),IF(OR($D$65="SAN CRISTOBAL",$D$65="FLOREANA"),VLOOKUP(D90,'Estratos SCY - FLO'!$A$4:$M$108,IF($D$71="A1",2,IF($D$71="A",5,IF($D$71="B",8,11))))+E90/(0.92*1000),VLOOKUP(D90,'Estratos SCX - ISA'!$A$3:$M$107,IF($D$71="A1",2,IF($D$71="A",5,IF($D$71="B",8,11))))+E90/(0.92*1000))))),IF(OR($D$65="",$D$71=""),"",IF(OR(D90&gt;$D$72,E90&gt;$D$73),"Rev. Total. abona.",IF(D90="",IF(E90="","",E90/(0.92*1000)),IF(OR($D$65="SAN CRISTOBAL",$D$65="FLOREANA"),VLOOKUP(D90,'Estratos SCY - FLO'!$O$4:$S$108,IF($D$71="A1",2,IF($D$71="A",3,IF($D$71="B",4,5))))+E90/(0.92*1000),VLOOKUP(D90,'Estratos SCX - ISA'!$O$4:$S$108,IF($D$71="A1",2,IF($D$71="A",3,IF($D$71="B",4,5))))+E90/(0.92*1000)))))))</f>
        <v/>
      </c>
      <c r="G90" s="59" t="str">
        <f t="shared" si="10"/>
        <v/>
      </c>
      <c r="H90" s="183"/>
      <c r="I90" s="183"/>
      <c r="J90" s="59" t="str">
        <f>IF(OR(H90="",$D$10="",$N$10=""),"",IF($D$10="COBRE",VLOOKUP(CDV_PROY_BT!H90,FDV!$B$16:$E$24,IF(CDV_PROY_BT!$N$10="3F",3,4),FALSE),IF($D$10="ACS",VLOOKUP(CDV_PROY_BT!H90,FDV!$B$10:$E$15,IF(CDV_PROY_BT!$N$10="3F",3,4),FALSE),IF($D$10="5005 (PREENSAMBLADO)",VLOOKUP(CDV_PROY_BT!H90,FDV!$B$4:$E$9,IF(CDV_PROY_BT!$N$10="3F",3,4),FALSE),VLOOKUP(CDV_PROY_BT!H90,FDV!$B$25:$E$30,IF(CDV_PROY_BT!$N$10="3F",3,4),FALSE)))))</f>
        <v/>
      </c>
      <c r="K90" s="63" t="str">
        <f t="shared" si="9"/>
        <v/>
      </c>
      <c r="L90" s="62" t="str">
        <f t="shared" si="11"/>
        <v/>
      </c>
      <c r="M90" s="62" t="str">
        <f t="shared" si="12"/>
        <v/>
      </c>
      <c r="N90" s="155"/>
      <c r="U90" s="138">
        <f t="shared" si="13"/>
        <v>0</v>
      </c>
      <c r="V90" s="138">
        <f t="shared" si="14"/>
        <v>0</v>
      </c>
    </row>
    <row r="91" spans="1:22" ht="15" hidden="1">
      <c r="A91" s="167"/>
      <c r="B91" s="168"/>
      <c r="C91" s="169"/>
      <c r="D91" s="169"/>
      <c r="E91" s="174"/>
      <c r="F91" s="58" t="str">
        <f>IF($N$67="","",IF($N$67="INDUSTRIAL",IF(OR($D$65="",$D$71=""),"",IF(OR(D91&gt;$D$72,E91&gt;$D$73),"Rev. Total. abona.",IF(D91="",IF(E91="","",E91/(0.92*1000)),IF(OR($D$65="SAN CRISTOBAL",$D$65="FLOREANA"),VLOOKUP(D91,'Estratos SCY - FLO'!$A$4:$M$108,IF($D$71="A1",2,IF($D$71="A",5,IF($D$71="B",8,11))))+E91/(0.92*1000),VLOOKUP(D91,'Estratos SCX - ISA'!$A$3:$M$107,IF($D$71="A1",2,IF($D$71="A",5,IF($D$71="B",8,11))))+E91/(0.92*1000))))),IF(OR($D$65="",$D$71=""),"",IF(OR(D91&gt;$D$72,E91&gt;$D$73),"Rev. Total. abona.",IF(D91="",IF(E91="","",E91/(0.92*1000)),IF(OR($D$65="SAN CRISTOBAL",$D$65="FLOREANA"),VLOOKUP(D91,'Estratos SCY - FLO'!$O$4:$S$108,IF($D$71="A1",2,IF($D$71="A",3,IF($D$71="B",4,5))))+E91/(0.92*1000),VLOOKUP(D91,'Estratos SCX - ISA'!$O$4:$S$108,IF($D$71="A1",2,IF($D$71="A",3,IF($D$71="B",4,5))))+E91/(0.92*1000)))))))</f>
        <v/>
      </c>
      <c r="G91" s="59" t="str">
        <f t="shared" si="10"/>
        <v/>
      </c>
      <c r="H91" s="183"/>
      <c r="I91" s="183"/>
      <c r="J91" s="59" t="str">
        <f>IF(OR(H91="",$D$10="",$N$10=""),"",IF($D$10="COBRE",VLOOKUP(CDV_PROY_BT!H91,FDV!$B$16:$E$24,IF(CDV_PROY_BT!$N$10="3F",3,4),FALSE),IF($D$10="ACS",VLOOKUP(CDV_PROY_BT!H91,FDV!$B$10:$E$15,IF(CDV_PROY_BT!$N$10="3F",3,4),FALSE),IF($D$10="5005 (PREENSAMBLADO)",VLOOKUP(CDV_PROY_BT!H91,FDV!$B$4:$E$9,IF(CDV_PROY_BT!$N$10="3F",3,4),FALSE),VLOOKUP(CDV_PROY_BT!H91,FDV!$B$25:$E$30,IF(CDV_PROY_BT!$N$10="3F",3,4),FALSE)))))</f>
        <v/>
      </c>
      <c r="K91" s="63" t="str">
        <f t="shared" si="9"/>
        <v/>
      </c>
      <c r="L91" s="62" t="str">
        <f t="shared" si="11"/>
        <v/>
      </c>
      <c r="M91" s="62" t="str">
        <f t="shared" si="12"/>
        <v/>
      </c>
      <c r="N91" s="155"/>
      <c r="U91" s="138">
        <f t="shared" si="13"/>
        <v>0</v>
      </c>
      <c r="V91" s="138">
        <f t="shared" si="14"/>
        <v>0</v>
      </c>
    </row>
    <row r="92" spans="1:22" ht="15" hidden="1">
      <c r="A92" s="175"/>
      <c r="B92" s="176"/>
      <c r="C92" s="177"/>
      <c r="D92" s="177"/>
      <c r="E92" s="170"/>
      <c r="F92" s="58" t="str">
        <f>IF($N$67="","",IF($N$67="INDUSTRIAL",IF(OR($D$65="",$D$71=""),"",IF(OR(D92&gt;$D$72,E92&gt;$D$73),"Rev. Total. abona.",IF(D92="",IF(E92="","",E92/(0.92*1000)),IF(OR($D$65="SAN CRISTOBAL",$D$65="FLOREANA"),VLOOKUP(D92,'Estratos SCY - FLO'!$A$4:$M$108,IF($D$71="A1",2,IF($D$71="A",5,IF($D$71="B",8,11))))+E92/(0.92*1000),VLOOKUP(D92,'Estratos SCX - ISA'!$A$3:$M$107,IF($D$71="A1",2,IF($D$71="A",5,IF($D$71="B",8,11))))+E92/(0.92*1000))))),IF(OR($D$65="",$D$71=""),"",IF(OR(D92&gt;$D$72,E92&gt;$D$73),"Rev. Total. abona.",IF(D92="",IF(E92="","",E92/(0.92*1000)),IF(OR($D$65="SAN CRISTOBAL",$D$65="FLOREANA"),VLOOKUP(D92,'Estratos SCY - FLO'!$O$4:$S$108,IF($D$71="A1",2,IF($D$71="A",3,IF($D$71="B",4,5))))+E92/(0.92*1000),VLOOKUP(D92,'Estratos SCX - ISA'!$O$4:$S$108,IF($D$71="A1",2,IF($D$71="A",3,IF($D$71="B",4,5))))+E92/(0.92*1000)))))))</f>
        <v/>
      </c>
      <c r="G92" s="59" t="str">
        <f t="shared" si="10"/>
        <v/>
      </c>
      <c r="H92" s="183"/>
      <c r="I92" s="183"/>
      <c r="J92" s="59" t="str">
        <f>IF(OR(H92="",$D$10="",$N$10=""),"",IF($D$10="COBRE",VLOOKUP(CDV_PROY_BT!H92,FDV!$B$16:$E$24,IF(CDV_PROY_BT!$N$10="3F",3,4),FALSE),IF($D$10="ACS",VLOOKUP(CDV_PROY_BT!H92,FDV!$B$10:$E$15,IF(CDV_PROY_BT!$N$10="3F",3,4),FALSE),IF($D$10="5005 (PREENSAMBLADO)",VLOOKUP(CDV_PROY_BT!H92,FDV!$B$4:$E$9,IF(CDV_PROY_BT!$N$10="3F",3,4),FALSE),VLOOKUP(CDV_PROY_BT!H92,FDV!$B$25:$E$30,IF(CDV_PROY_BT!$N$10="3F",3,4),FALSE)))))</f>
        <v/>
      </c>
      <c r="K92" s="63" t="str">
        <f t="shared" si="9"/>
        <v/>
      </c>
      <c r="L92" s="62" t="str">
        <f t="shared" si="11"/>
        <v/>
      </c>
      <c r="M92" s="62" t="str">
        <f t="shared" si="12"/>
        <v/>
      </c>
      <c r="N92" s="155"/>
      <c r="U92" s="138">
        <f t="shared" si="13"/>
        <v>0</v>
      </c>
      <c r="V92" s="138">
        <f t="shared" si="14"/>
        <v>0</v>
      </c>
    </row>
    <row r="93" spans="1:22" ht="15" hidden="1">
      <c r="A93" s="167"/>
      <c r="B93" s="168"/>
      <c r="C93" s="169"/>
      <c r="D93" s="169"/>
      <c r="E93" s="170"/>
      <c r="F93" s="58" t="str">
        <f>IF($N$67="","",IF($N$67="INDUSTRIAL",IF(OR($D$65="",$D$71=""),"",IF(OR(D93&gt;$D$72,E93&gt;$D$73),"Rev. Total. abona.",IF(D93="",IF(E93="","",E93/(0.92*1000)),IF(OR($D$65="SAN CRISTOBAL",$D$65="FLOREANA"),VLOOKUP(D93,'Estratos SCY - FLO'!$A$4:$M$108,IF($D$71="A1",2,IF($D$71="A",5,IF($D$71="B",8,11))))+E93/(0.92*1000),VLOOKUP(D93,'Estratos SCX - ISA'!$A$3:$M$107,IF($D$71="A1",2,IF($D$71="A",5,IF($D$71="B",8,11))))+E93/(0.92*1000))))),IF(OR($D$65="",$D$71=""),"",IF(OR(D93&gt;$D$72,E93&gt;$D$73),"Rev. Total. abona.",IF(D93="",IF(E93="","",E93/(0.92*1000)),IF(OR($D$65="SAN CRISTOBAL",$D$65="FLOREANA"),VLOOKUP(D93,'Estratos SCY - FLO'!$O$4:$S$108,IF($D$71="A1",2,IF($D$71="A",3,IF($D$71="B",4,5))))+E93/(0.92*1000),VLOOKUP(D93,'Estratos SCX - ISA'!$O$4:$S$108,IF($D$71="A1",2,IF($D$71="A",3,IF($D$71="B",4,5))))+E93/(0.92*1000)))))))</f>
        <v/>
      </c>
      <c r="G93" s="59" t="str">
        <f t="shared" si="10"/>
        <v/>
      </c>
      <c r="H93" s="183"/>
      <c r="I93" s="183"/>
      <c r="J93" s="59" t="str">
        <f>IF(OR(H93="",$D$10="",$N$10=""),"",IF($D$10="COBRE",VLOOKUP(CDV_PROY_BT!H93,FDV!$B$16:$E$24,IF(CDV_PROY_BT!$N$10="3F",3,4),FALSE),IF($D$10="ACS",VLOOKUP(CDV_PROY_BT!H93,FDV!$B$10:$E$15,IF(CDV_PROY_BT!$N$10="3F",3,4),FALSE),IF($D$10="5005 (PREENSAMBLADO)",VLOOKUP(CDV_PROY_BT!H93,FDV!$B$4:$E$9,IF(CDV_PROY_BT!$N$10="3F",3,4),FALSE),VLOOKUP(CDV_PROY_BT!H93,FDV!$B$25:$E$30,IF(CDV_PROY_BT!$N$10="3F",3,4),FALSE)))))</f>
        <v/>
      </c>
      <c r="K93" s="63" t="str">
        <f t="shared" si="9"/>
        <v/>
      </c>
      <c r="L93" s="62" t="str">
        <f t="shared" si="11"/>
        <v/>
      </c>
      <c r="M93" s="62" t="str">
        <f t="shared" si="12"/>
        <v/>
      </c>
      <c r="N93" s="155"/>
      <c r="U93" s="138">
        <f t="shared" si="13"/>
        <v>0</v>
      </c>
      <c r="V93" s="138">
        <f t="shared" si="14"/>
        <v>0</v>
      </c>
    </row>
    <row r="94" spans="1:22" ht="15" hidden="1">
      <c r="A94" s="167"/>
      <c r="B94" s="168"/>
      <c r="C94" s="169"/>
      <c r="D94" s="169"/>
      <c r="E94" s="170"/>
      <c r="F94" s="58" t="str">
        <f>IF($N$67="","",IF($N$67="INDUSTRIAL",IF(OR($D$65="",$D$71=""),"",IF(OR(D94&gt;$D$72,E94&gt;$D$73),"Rev. Total. abona.",IF(D94="",IF(E94="","",E94/(0.92*1000)),IF(OR($D$65="SAN CRISTOBAL",$D$65="FLOREANA"),VLOOKUP(D94,'Estratos SCY - FLO'!$A$4:$M$108,IF($D$71="A1",2,IF($D$71="A",5,IF($D$71="B",8,11))))+E94/(0.92*1000),VLOOKUP(D94,'Estratos SCX - ISA'!$A$3:$M$107,IF($D$71="A1",2,IF($D$71="A",5,IF($D$71="B",8,11))))+E94/(0.92*1000))))),IF(OR($D$65="",$D$71=""),"",IF(OR(D94&gt;$D$72,E94&gt;$D$73),"Rev. Total. abona.",IF(D94="",IF(E94="","",E94/(0.92*1000)),IF(OR($D$65="SAN CRISTOBAL",$D$65="FLOREANA"),VLOOKUP(D94,'Estratos SCY - FLO'!$O$4:$S$108,IF($D$71="A1",2,IF($D$71="A",3,IF($D$71="B",4,5))))+E94/(0.92*1000),VLOOKUP(D94,'Estratos SCX - ISA'!$O$4:$S$108,IF($D$71="A1",2,IF($D$71="A",3,IF($D$71="B",4,5))))+E94/(0.92*1000)))))))</f>
        <v/>
      </c>
      <c r="G94" s="59" t="str">
        <f t="shared" si="10"/>
        <v/>
      </c>
      <c r="H94" s="183"/>
      <c r="I94" s="183"/>
      <c r="J94" s="59" t="str">
        <f>IF(OR(H94="",$D$10="",$N$10=""),"",IF($D$10="COBRE",VLOOKUP(CDV_PROY_BT!H94,FDV!$B$16:$E$24,IF(CDV_PROY_BT!$N$10="3F",3,4),FALSE),IF($D$10="ACS",VLOOKUP(CDV_PROY_BT!H94,FDV!$B$10:$E$15,IF(CDV_PROY_BT!$N$10="3F",3,4),FALSE),IF($D$10="5005 (PREENSAMBLADO)",VLOOKUP(CDV_PROY_BT!H94,FDV!$B$4:$E$9,IF(CDV_PROY_BT!$N$10="3F",3,4),FALSE),VLOOKUP(CDV_PROY_BT!H94,FDV!$B$25:$E$30,IF(CDV_PROY_BT!$N$10="3F",3,4),FALSE)))))</f>
        <v/>
      </c>
      <c r="K94" s="63" t="str">
        <f t="shared" si="9"/>
        <v/>
      </c>
      <c r="L94" s="62" t="str">
        <f t="shared" si="11"/>
        <v/>
      </c>
      <c r="M94" s="62" t="str">
        <f t="shared" si="12"/>
        <v/>
      </c>
      <c r="N94" s="155"/>
      <c r="U94" s="138">
        <f t="shared" si="13"/>
        <v>0</v>
      </c>
      <c r="V94" s="138">
        <f t="shared" si="14"/>
        <v>0</v>
      </c>
    </row>
    <row r="95" spans="1:22" ht="15" hidden="1">
      <c r="A95" s="167"/>
      <c r="B95" s="168"/>
      <c r="C95" s="169"/>
      <c r="D95" s="169"/>
      <c r="E95" s="170"/>
      <c r="F95" s="58" t="str">
        <f>IF($N$67="","",IF($N$67="INDUSTRIAL",IF(OR($D$65="",$D$71=""),"",IF(OR(D95&gt;$D$72,E95&gt;$D$73),"Rev. Total. abona.",IF(D95="",IF(E95="","",E95/(0.92*1000)),IF(OR($D$65="SAN CRISTOBAL",$D$65="FLOREANA"),VLOOKUP(D95,'Estratos SCY - FLO'!$A$4:$M$108,IF($D$71="A1",2,IF($D$71="A",5,IF($D$71="B",8,11))))+E95/(0.92*1000),VLOOKUP(D95,'Estratos SCX - ISA'!$A$3:$M$107,IF($D$71="A1",2,IF($D$71="A",5,IF($D$71="B",8,11))))+E95/(0.92*1000))))),IF(OR($D$65="",$D$71=""),"",IF(OR(D95&gt;$D$72,E95&gt;$D$73),"Rev. Total. abona.",IF(D95="",IF(E95="","",E95/(0.92*1000)),IF(OR($D$65="SAN CRISTOBAL",$D$65="FLOREANA"),VLOOKUP(D95,'Estratos SCY - FLO'!$O$4:$S$108,IF($D$71="A1",2,IF($D$71="A",3,IF($D$71="B",4,5))))+E95/(0.92*1000),VLOOKUP(D95,'Estratos SCX - ISA'!$O$4:$S$108,IF($D$71="A1",2,IF($D$71="A",3,IF($D$71="B",4,5))))+E95/(0.92*1000)))))))</f>
        <v/>
      </c>
      <c r="G95" s="59" t="str">
        <f t="shared" si="10"/>
        <v/>
      </c>
      <c r="H95" s="183"/>
      <c r="I95" s="183"/>
      <c r="J95" s="59" t="str">
        <f>IF(OR(H95="",$D$10="",$N$10=""),"",IF($D$10="COBRE",VLOOKUP(CDV_PROY_BT!H95,FDV!$B$16:$E$24,IF(CDV_PROY_BT!$N$10="3F",3,4),FALSE),IF($D$10="ACS",VLOOKUP(CDV_PROY_BT!H95,FDV!$B$10:$E$15,IF(CDV_PROY_BT!$N$10="3F",3,4),FALSE),IF($D$10="5005 (PREENSAMBLADO)",VLOOKUP(CDV_PROY_BT!H95,FDV!$B$4:$E$9,IF(CDV_PROY_BT!$N$10="3F",3,4),FALSE),VLOOKUP(CDV_PROY_BT!H95,FDV!$B$25:$E$30,IF(CDV_PROY_BT!$N$10="3F",3,4),FALSE)))))</f>
        <v/>
      </c>
      <c r="K95" s="63" t="str">
        <f t="shared" si="9"/>
        <v/>
      </c>
      <c r="L95" s="62" t="str">
        <f t="shared" si="11"/>
        <v/>
      </c>
      <c r="M95" s="62" t="str">
        <f t="shared" si="12"/>
        <v/>
      </c>
      <c r="N95" s="155"/>
      <c r="U95" s="138">
        <f t="shared" si="13"/>
        <v>0</v>
      </c>
      <c r="V95" s="138">
        <f t="shared" si="14"/>
        <v>0</v>
      </c>
    </row>
    <row r="96" spans="1:22" ht="15" hidden="1">
      <c r="A96" s="167"/>
      <c r="B96" s="168"/>
      <c r="C96" s="169"/>
      <c r="D96" s="169"/>
      <c r="E96" s="170"/>
      <c r="F96" s="58" t="str">
        <f>IF($N$67="","",IF($N$67="INDUSTRIAL",IF(OR($D$65="",$D$71=""),"",IF(OR(D96&gt;$D$72,E96&gt;$D$73),"Rev. Total. abona.",IF(D96="",IF(E96="","",E96/(0.92*1000)),IF(OR($D$65="SAN CRISTOBAL",$D$65="FLOREANA"),VLOOKUP(D96,'Estratos SCY - FLO'!$A$4:$M$108,IF($D$71="A1",2,IF($D$71="A",5,IF($D$71="B",8,11))))+E96/(0.92*1000),VLOOKUP(D96,'Estratos SCX - ISA'!$A$3:$M$107,IF($D$71="A1",2,IF($D$71="A",5,IF($D$71="B",8,11))))+E96/(0.92*1000))))),IF(OR($D$65="",$D$71=""),"",IF(OR(D96&gt;$D$72,E96&gt;$D$73),"Rev. Total. abona.",IF(D96="",IF(E96="","",E96/(0.92*1000)),IF(OR($D$65="SAN CRISTOBAL",$D$65="FLOREANA"),VLOOKUP(D96,'Estratos SCY - FLO'!$O$4:$S$108,IF($D$71="A1",2,IF($D$71="A",3,IF($D$71="B",4,5))))+E96/(0.92*1000),VLOOKUP(D96,'Estratos SCX - ISA'!$O$4:$S$108,IF($D$71="A1",2,IF($D$71="A",3,IF($D$71="B",4,5))))+E96/(0.92*1000)))))))</f>
        <v/>
      </c>
      <c r="G96" s="59" t="str">
        <f t="shared" si="10"/>
        <v/>
      </c>
      <c r="H96" s="183"/>
      <c r="I96" s="183"/>
      <c r="J96" s="59" t="str">
        <f>IF(OR(H96="",$D$10="",$N$10=""),"",IF($D$10="COBRE",VLOOKUP(CDV_PROY_BT!H96,FDV!$B$16:$E$24,IF(CDV_PROY_BT!$N$10="3F",3,4),FALSE),IF($D$10="ACS",VLOOKUP(CDV_PROY_BT!H96,FDV!$B$10:$E$15,IF(CDV_PROY_BT!$N$10="3F",3,4),FALSE),IF($D$10="5005 (PREENSAMBLADO)",VLOOKUP(CDV_PROY_BT!H96,FDV!$B$4:$E$9,IF(CDV_PROY_BT!$N$10="3F",3,4),FALSE),VLOOKUP(CDV_PROY_BT!H96,FDV!$B$25:$E$30,IF(CDV_PROY_BT!$N$10="3F",3,4),FALSE)))))</f>
        <v/>
      </c>
      <c r="K96" s="63" t="str">
        <f t="shared" si="9"/>
        <v/>
      </c>
      <c r="L96" s="62" t="str">
        <f t="shared" si="11"/>
        <v/>
      </c>
      <c r="M96" s="62" t="str">
        <f t="shared" si="12"/>
        <v/>
      </c>
      <c r="N96" s="155"/>
      <c r="U96" s="138">
        <f t="shared" si="13"/>
        <v>0</v>
      </c>
      <c r="V96" s="138">
        <f t="shared" si="14"/>
        <v>0</v>
      </c>
    </row>
    <row r="97" spans="1:22" ht="15" hidden="1">
      <c r="A97" s="167"/>
      <c r="B97" s="168"/>
      <c r="C97" s="169"/>
      <c r="D97" s="169"/>
      <c r="E97" s="170"/>
      <c r="F97" s="58" t="str">
        <f>IF($N$67="","",IF($N$67="INDUSTRIAL",IF(OR($D$65="",$D$71=""),"",IF(OR(D97&gt;$D$72,E97&gt;$D$73),"Rev. Total. abona.",IF(D97="",IF(E97="","",E97/(0.92*1000)),IF(OR($D$65="SAN CRISTOBAL",$D$65="FLOREANA"),VLOOKUP(D97,'Estratos SCY - FLO'!$A$4:$M$108,IF($D$71="A1",2,IF($D$71="A",5,IF($D$71="B",8,11))))+E97/(0.92*1000),VLOOKUP(D97,'Estratos SCX - ISA'!$A$3:$M$107,IF($D$71="A1",2,IF($D$71="A",5,IF($D$71="B",8,11))))+E97/(0.92*1000))))),IF(OR($D$65="",$D$71=""),"",IF(OR(D97&gt;$D$72,E97&gt;$D$73),"Rev. Total. abona.",IF(D97="",IF(E97="","",E97/(0.92*1000)),IF(OR($D$65="SAN CRISTOBAL",$D$65="FLOREANA"),VLOOKUP(D97,'Estratos SCY - FLO'!$O$4:$S$108,IF($D$71="A1",2,IF($D$71="A",3,IF($D$71="B",4,5))))+E97/(0.92*1000),VLOOKUP(D97,'Estratos SCX - ISA'!$O$4:$S$108,IF($D$71="A1",2,IF($D$71="A",3,IF($D$71="B",4,5))))+E97/(0.92*1000)))))))</f>
        <v/>
      </c>
      <c r="G97" s="59" t="str">
        <f t="shared" si="10"/>
        <v/>
      </c>
      <c r="H97" s="183"/>
      <c r="I97" s="183"/>
      <c r="J97" s="59" t="str">
        <f>IF(OR(H97="",$D$10="",$N$10=""),"",IF($D$10="COBRE",VLOOKUP(CDV_PROY_BT!H97,FDV!$B$16:$E$24,IF(CDV_PROY_BT!$N$10="3F",3,4),FALSE),IF($D$10="ACS",VLOOKUP(CDV_PROY_BT!H97,FDV!$B$10:$E$15,IF(CDV_PROY_BT!$N$10="3F",3,4),FALSE),IF($D$10="5005 (PREENSAMBLADO)",VLOOKUP(CDV_PROY_BT!H97,FDV!$B$4:$E$9,IF(CDV_PROY_BT!$N$10="3F",3,4),FALSE),VLOOKUP(CDV_PROY_BT!H97,FDV!$B$25:$E$30,IF(CDV_PROY_BT!$N$10="3F",3,4),FALSE)))))</f>
        <v/>
      </c>
      <c r="K97" s="63" t="str">
        <f t="shared" si="9"/>
        <v/>
      </c>
      <c r="L97" s="62" t="str">
        <f t="shared" si="11"/>
        <v/>
      </c>
      <c r="M97" s="62" t="str">
        <f t="shared" si="12"/>
        <v/>
      </c>
      <c r="N97" s="155"/>
      <c r="U97" s="138">
        <f t="shared" si="13"/>
        <v>0</v>
      </c>
      <c r="V97" s="138">
        <f t="shared" si="14"/>
        <v>0</v>
      </c>
    </row>
    <row r="98" spans="1:22" ht="15" hidden="1">
      <c r="A98" s="167"/>
      <c r="B98" s="168"/>
      <c r="C98" s="169"/>
      <c r="D98" s="169"/>
      <c r="E98" s="170"/>
      <c r="F98" s="58" t="str">
        <f>IF($N$67="","",IF($N$67="INDUSTRIAL",IF(OR($D$65="",$D$71=""),"",IF(OR(D98&gt;$D$72,E98&gt;$D$73),"Rev. Total. abona.",IF(D98="",IF(E98="","",E98/(0.92*1000)),IF(OR($D$65="SAN CRISTOBAL",$D$65="FLOREANA"),VLOOKUP(D98,'Estratos SCY - FLO'!$A$4:$M$108,IF($D$71="A1",2,IF($D$71="A",5,IF($D$71="B",8,11))))+E98/(0.92*1000),VLOOKUP(D98,'Estratos SCX - ISA'!$A$3:$M$107,IF($D$71="A1",2,IF($D$71="A",5,IF($D$71="B",8,11))))+E98/(0.92*1000))))),IF(OR($D$65="",$D$71=""),"",IF(OR(D98&gt;$D$72,E98&gt;$D$73),"Rev. Total. abona.",IF(D98="",IF(E98="","",E98/(0.92*1000)),IF(OR($D$65="SAN CRISTOBAL",$D$65="FLOREANA"),VLOOKUP(D98,'Estratos SCY - FLO'!$O$4:$S$108,IF($D$71="A1",2,IF($D$71="A",3,IF($D$71="B",4,5))))+E98/(0.92*1000),VLOOKUP(D98,'Estratos SCX - ISA'!$O$4:$S$108,IF($D$71="A1",2,IF($D$71="A",3,IF($D$71="B",4,5))))+E98/(0.92*1000)))))))</f>
        <v/>
      </c>
      <c r="G98" s="59" t="str">
        <f t="shared" si="10"/>
        <v/>
      </c>
      <c r="H98" s="183"/>
      <c r="I98" s="183"/>
      <c r="J98" s="59" t="str">
        <f>IF(OR(H98="",$D$10="",$N$10=""),"",IF($D$10="COBRE",VLOOKUP(CDV_PROY_BT!H98,FDV!$B$16:$E$24,IF(CDV_PROY_BT!$N$10="3F",3,4),FALSE),IF($D$10="ACS",VLOOKUP(CDV_PROY_BT!H98,FDV!$B$10:$E$15,IF(CDV_PROY_BT!$N$10="3F",3,4),FALSE),IF($D$10="5005 (PREENSAMBLADO)",VLOOKUP(CDV_PROY_BT!H98,FDV!$B$4:$E$9,IF(CDV_PROY_BT!$N$10="3F",3,4),FALSE),VLOOKUP(CDV_PROY_BT!H98,FDV!$B$25:$E$30,IF(CDV_PROY_BT!$N$10="3F",3,4),FALSE)))))</f>
        <v/>
      </c>
      <c r="K98" s="63" t="str">
        <f t="shared" si="9"/>
        <v/>
      </c>
      <c r="L98" s="62" t="str">
        <f t="shared" si="11"/>
        <v/>
      </c>
      <c r="M98" s="62" t="str">
        <f t="shared" si="12"/>
        <v/>
      </c>
      <c r="N98" s="155"/>
      <c r="U98" s="138">
        <f t="shared" si="13"/>
        <v>0</v>
      </c>
      <c r="V98" s="138">
        <f t="shared" si="14"/>
        <v>0</v>
      </c>
    </row>
    <row r="99" spans="1:22" ht="15" hidden="1">
      <c r="A99" s="167"/>
      <c r="B99" s="168"/>
      <c r="C99" s="169"/>
      <c r="D99" s="169"/>
      <c r="E99" s="170"/>
      <c r="F99" s="58" t="str">
        <f>IF($N$67="","",IF($N$67="INDUSTRIAL",IF(OR($D$65="",$D$71=""),"",IF(OR(D99&gt;$D$72,E99&gt;$D$73),"Rev. Total. abona.",IF(D99="",IF(E99="","",E99/(0.92*1000)),IF(OR($D$65="SAN CRISTOBAL",$D$65="FLOREANA"),VLOOKUP(D99,'Estratos SCY - FLO'!$A$4:$M$108,IF($D$71="A1",2,IF($D$71="A",5,IF($D$71="B",8,11))))+E99/(0.92*1000),VLOOKUP(D99,'Estratos SCX - ISA'!$A$3:$M$107,IF($D$71="A1",2,IF($D$71="A",5,IF($D$71="B",8,11))))+E99/(0.92*1000))))),IF(OR($D$65="",$D$71=""),"",IF(OR(D99&gt;$D$72,E99&gt;$D$73),"Rev. Total. abona.",IF(D99="",IF(E99="","",E99/(0.92*1000)),IF(OR($D$65="SAN CRISTOBAL",$D$65="FLOREANA"),VLOOKUP(D99,'Estratos SCY - FLO'!$O$4:$S$108,IF($D$71="A1",2,IF($D$71="A",3,IF($D$71="B",4,5))))+E99/(0.92*1000),VLOOKUP(D99,'Estratos SCX - ISA'!$O$4:$S$108,IF($D$71="A1",2,IF($D$71="A",3,IF($D$71="B",4,5))))+E99/(0.92*1000)))))))</f>
        <v/>
      </c>
      <c r="G99" s="59" t="str">
        <f t="shared" si="10"/>
        <v/>
      </c>
      <c r="H99" s="183"/>
      <c r="I99" s="183"/>
      <c r="J99" s="59" t="str">
        <f>IF(OR(H99="",$D$10="",$N$10=""),"",IF($D$10="COBRE",VLOOKUP(CDV_PROY_BT!H99,FDV!$B$16:$E$24,IF(CDV_PROY_BT!$N$10="3F",3,4),FALSE),IF($D$10="ACS",VLOOKUP(CDV_PROY_BT!H99,FDV!$B$10:$E$15,IF(CDV_PROY_BT!$N$10="3F",3,4),FALSE),IF($D$10="5005 (PREENSAMBLADO)",VLOOKUP(CDV_PROY_BT!H99,FDV!$B$4:$E$9,IF(CDV_PROY_BT!$N$10="3F",3,4),FALSE),VLOOKUP(CDV_PROY_BT!H99,FDV!$B$25:$E$30,IF(CDV_PROY_BT!$N$10="3F",3,4),FALSE)))))</f>
        <v/>
      </c>
      <c r="K99" s="63" t="str">
        <f t="shared" si="9"/>
        <v/>
      </c>
      <c r="L99" s="62" t="str">
        <f t="shared" si="11"/>
        <v/>
      </c>
      <c r="M99" s="62" t="str">
        <f t="shared" si="12"/>
        <v/>
      </c>
      <c r="N99" s="155"/>
      <c r="U99" s="138">
        <f t="shared" si="13"/>
        <v>0</v>
      </c>
      <c r="V99" s="138">
        <f t="shared" si="14"/>
        <v>0</v>
      </c>
    </row>
    <row r="100" spans="1:22" ht="15" hidden="1">
      <c r="A100" s="167"/>
      <c r="B100" s="168"/>
      <c r="C100" s="169"/>
      <c r="D100" s="169"/>
      <c r="E100" s="170"/>
      <c r="F100" s="58" t="str">
        <f>IF($N$67="","",IF($N$67="INDUSTRIAL",IF(OR($D$65="",$D$71=""),"",IF(OR(D100&gt;$D$72,E100&gt;$D$73),"Rev. Total. abona.",IF(D100="",IF(E100="","",E100/(0.92*1000)),IF(OR($D$65="SAN CRISTOBAL",$D$65="FLOREANA"),VLOOKUP(D100,'Estratos SCY - FLO'!$A$4:$M$108,IF($D$71="A1",2,IF($D$71="A",5,IF($D$71="B",8,11))))+E100/(0.92*1000),VLOOKUP(D100,'Estratos SCX - ISA'!$A$3:$M$107,IF($D$71="A1",2,IF($D$71="A",5,IF($D$71="B",8,11))))+E100/(0.92*1000))))),IF(OR($D$65="",$D$71=""),"",IF(OR(D100&gt;$D$72,E100&gt;$D$73),"Rev. Total. abona.",IF(D100="",IF(E100="","",E100/(0.92*1000)),IF(OR($D$65="SAN CRISTOBAL",$D$65="FLOREANA"),VLOOKUP(D100,'Estratos SCY - FLO'!$O$4:$S$108,IF($D$71="A1",2,IF($D$71="A",3,IF($D$71="B",4,5))))+E100/(0.92*1000),VLOOKUP(D100,'Estratos SCX - ISA'!$O$4:$S$108,IF($D$71="A1",2,IF($D$71="A",3,IF($D$71="B",4,5))))+E100/(0.92*1000)))))))</f>
        <v/>
      </c>
      <c r="G100" s="59" t="str">
        <f t="shared" si="10"/>
        <v/>
      </c>
      <c r="H100" s="183"/>
      <c r="I100" s="183"/>
      <c r="J100" s="59" t="str">
        <f>IF(OR(H100="",$D$10="",$N$10=""),"",IF($D$10="COBRE",VLOOKUP(CDV_PROY_BT!H100,FDV!$B$16:$E$24,IF(CDV_PROY_BT!$N$10="3F",3,4),FALSE),IF($D$10="ACS",VLOOKUP(CDV_PROY_BT!H100,FDV!$B$10:$E$15,IF(CDV_PROY_BT!$N$10="3F",3,4),FALSE),IF($D$10="5005 (PREENSAMBLADO)",VLOOKUP(CDV_PROY_BT!H100,FDV!$B$4:$E$9,IF(CDV_PROY_BT!$N$10="3F",3,4),FALSE),VLOOKUP(CDV_PROY_BT!H100,FDV!$B$25:$E$30,IF(CDV_PROY_BT!$N$10="3F",3,4),FALSE)))))</f>
        <v/>
      </c>
      <c r="K100" s="63" t="str">
        <f t="shared" si="9"/>
        <v/>
      </c>
      <c r="L100" s="62" t="str">
        <f t="shared" si="11"/>
        <v/>
      </c>
      <c r="M100" s="62" t="str">
        <f t="shared" si="12"/>
        <v/>
      </c>
      <c r="N100" s="155"/>
      <c r="U100" s="138">
        <f t="shared" si="13"/>
        <v>0</v>
      </c>
      <c r="V100" s="138">
        <f t="shared" si="14"/>
        <v>0</v>
      </c>
    </row>
    <row r="101" spans="1:22" ht="15" hidden="1">
      <c r="A101" s="167"/>
      <c r="B101" s="168"/>
      <c r="C101" s="169"/>
      <c r="D101" s="169"/>
      <c r="E101" s="170"/>
      <c r="F101" s="58" t="str">
        <f>IF($N$67="","",IF($N$67="INDUSTRIAL",IF(OR($D$65="",$D$71=""),"",IF(OR(D101&gt;$D$72,E101&gt;$D$73),"Rev. Total. abona.",IF(D101="",IF(E101="","",E101/(0.92*1000)),IF(OR($D$65="SAN CRISTOBAL",$D$65="FLOREANA"),VLOOKUP(D101,'Estratos SCY - FLO'!$A$4:$M$108,IF($D$71="A1",2,IF($D$71="A",5,IF($D$71="B",8,11))))+E101/(0.92*1000),VLOOKUP(D101,'Estratos SCX - ISA'!$A$3:$M$107,IF($D$71="A1",2,IF($D$71="A",5,IF($D$71="B",8,11))))+E101/(0.92*1000))))),IF(OR($D$65="",$D$71=""),"",IF(OR(D101&gt;$D$72,E101&gt;$D$73),"Rev. Total. abona.",IF(D101="",IF(E101="","",E101/(0.92*1000)),IF(OR($D$65="SAN CRISTOBAL",$D$65="FLOREANA"),VLOOKUP(D101,'Estratos SCY - FLO'!$O$4:$S$108,IF($D$71="A1",2,IF($D$71="A",3,IF($D$71="B",4,5))))+E101/(0.92*1000),VLOOKUP(D101,'Estratos SCX - ISA'!$O$4:$S$108,IF($D$71="A1",2,IF($D$71="A",3,IF($D$71="B",4,5))))+E101/(0.92*1000)))))))</f>
        <v/>
      </c>
      <c r="G101" s="59" t="str">
        <f t="shared" si="10"/>
        <v/>
      </c>
      <c r="H101" s="183"/>
      <c r="I101" s="183"/>
      <c r="J101" s="59" t="str">
        <f>IF(OR(H101="",$D$10="",$N$10=""),"",IF($D$10="COBRE",VLOOKUP(CDV_PROY_BT!H101,FDV!$B$16:$E$24,IF(CDV_PROY_BT!$N$10="3F",3,4),FALSE),IF($D$10="ACS",VLOOKUP(CDV_PROY_BT!H101,FDV!$B$10:$E$15,IF(CDV_PROY_BT!$N$10="3F",3,4),FALSE),IF($D$10="5005 (PREENSAMBLADO)",VLOOKUP(CDV_PROY_BT!H101,FDV!$B$4:$E$9,IF(CDV_PROY_BT!$N$10="3F",3,4),FALSE),VLOOKUP(CDV_PROY_BT!H101,FDV!$B$25:$E$30,IF(CDV_PROY_BT!$N$10="3F",3,4),FALSE)))))</f>
        <v/>
      </c>
      <c r="K101" s="63" t="str">
        <f t="shared" si="9"/>
        <v/>
      </c>
      <c r="L101" s="62" t="str">
        <f t="shared" si="11"/>
        <v/>
      </c>
      <c r="M101" s="62" t="str">
        <f t="shared" si="12"/>
        <v/>
      </c>
      <c r="N101" s="155"/>
      <c r="U101" s="138">
        <f t="shared" si="13"/>
        <v>0</v>
      </c>
      <c r="V101" s="138">
        <f t="shared" si="14"/>
        <v>0</v>
      </c>
    </row>
    <row r="102" spans="1:22" ht="15" hidden="1">
      <c r="A102" s="167"/>
      <c r="B102" s="168"/>
      <c r="C102" s="169"/>
      <c r="D102" s="169"/>
      <c r="E102" s="170"/>
      <c r="F102" s="58" t="str">
        <f>IF($N$67="","",IF($N$67="INDUSTRIAL",IF(OR($D$65="",$D$71=""),"",IF(OR(D102&gt;$D$72,E102&gt;$D$73),"Rev. Total. abona.",IF(D102="",IF(E102="","",E102/(0.92*1000)),IF(OR($D$65="SAN CRISTOBAL",$D$65="FLOREANA"),VLOOKUP(D102,'Estratos SCY - FLO'!$A$4:$M$108,IF($D$71="A1",2,IF($D$71="A",5,IF($D$71="B",8,11))))+E102/(0.92*1000),VLOOKUP(D102,'Estratos SCX - ISA'!$A$3:$M$107,IF($D$71="A1",2,IF($D$71="A",5,IF($D$71="B",8,11))))+E102/(0.92*1000))))),IF(OR($D$65="",$D$71=""),"",IF(OR(D102&gt;$D$72,E102&gt;$D$73),"Rev. Total. abona.",IF(D102="",IF(E102="","",E102/(0.92*1000)),IF(OR($D$65="SAN CRISTOBAL",$D$65="FLOREANA"),VLOOKUP(D102,'Estratos SCY - FLO'!$O$4:$S$108,IF($D$71="A1",2,IF($D$71="A",3,IF($D$71="B",4,5))))+E102/(0.92*1000),VLOOKUP(D102,'Estratos SCX - ISA'!$O$4:$S$108,IF($D$71="A1",2,IF($D$71="A",3,IF($D$71="B",4,5))))+E102/(0.92*1000)))))))</f>
        <v/>
      </c>
      <c r="G102" s="59" t="str">
        <f t="shared" si="10"/>
        <v/>
      </c>
      <c r="H102" s="183"/>
      <c r="I102" s="183"/>
      <c r="J102" s="59" t="str">
        <f>IF(OR(H102="",$D$10="",$N$10=""),"",IF($D$10="COBRE",VLOOKUP(CDV_PROY_BT!H102,FDV!$B$16:$E$24,IF(CDV_PROY_BT!$N$10="3F",3,4),FALSE),IF($D$10="ACS",VLOOKUP(CDV_PROY_BT!H102,FDV!$B$10:$E$15,IF(CDV_PROY_BT!$N$10="3F",3,4),FALSE),IF($D$10="5005 (PREENSAMBLADO)",VLOOKUP(CDV_PROY_BT!H102,FDV!$B$4:$E$9,IF(CDV_PROY_BT!$N$10="3F",3,4),FALSE),VLOOKUP(CDV_PROY_BT!H102,FDV!$B$25:$E$30,IF(CDV_PROY_BT!$N$10="3F",3,4),FALSE)))))</f>
        <v/>
      </c>
      <c r="K102" s="63" t="str">
        <f t="shared" si="9"/>
        <v/>
      </c>
      <c r="L102" s="62" t="str">
        <f t="shared" si="11"/>
        <v/>
      </c>
      <c r="M102" s="62" t="str">
        <f t="shared" si="12"/>
        <v/>
      </c>
      <c r="N102" s="155"/>
      <c r="U102" s="138">
        <f t="shared" si="13"/>
        <v>0</v>
      </c>
      <c r="V102" s="138">
        <f t="shared" si="14"/>
        <v>0</v>
      </c>
    </row>
    <row r="103" spans="1:22" ht="15" hidden="1">
      <c r="A103" s="167"/>
      <c r="B103" s="168"/>
      <c r="C103" s="169"/>
      <c r="D103" s="169"/>
      <c r="E103" s="170"/>
      <c r="F103" s="58" t="str">
        <f>IF($N$67="","",IF($N$67="INDUSTRIAL",IF(OR($D$65="",$D$71=""),"",IF(OR(D103&gt;$D$72,E103&gt;$D$73),"Rev. Total. abona.",IF(D103="",IF(E103="","",E103/(0.92*1000)),IF(OR($D$65="SAN CRISTOBAL",$D$65="FLOREANA"),VLOOKUP(D103,'Estratos SCY - FLO'!$A$4:$M$108,IF($D$71="A1",2,IF($D$71="A",5,IF($D$71="B",8,11))))+E103/(0.92*1000),VLOOKUP(D103,'Estratos SCX - ISA'!$A$3:$M$107,IF($D$71="A1",2,IF($D$71="A",5,IF($D$71="B",8,11))))+E103/(0.92*1000))))),IF(OR($D$65="",$D$71=""),"",IF(OR(D103&gt;$D$72,E103&gt;$D$73),"Rev. Total. abona.",IF(D103="",IF(E103="","",E103/(0.92*1000)),IF(OR($D$65="SAN CRISTOBAL",$D$65="FLOREANA"),VLOOKUP(D103,'Estratos SCY - FLO'!$O$4:$S$108,IF($D$71="A1",2,IF($D$71="A",3,IF($D$71="B",4,5))))+E103/(0.92*1000),VLOOKUP(D103,'Estratos SCX - ISA'!$O$4:$S$108,IF($D$71="A1",2,IF($D$71="A",3,IF($D$71="B",4,5))))+E103/(0.92*1000)))))))</f>
        <v/>
      </c>
      <c r="G103" s="59" t="str">
        <f t="shared" si="10"/>
        <v/>
      </c>
      <c r="H103" s="183"/>
      <c r="I103" s="183"/>
      <c r="J103" s="59" t="str">
        <f>IF(OR(H103="",$D$10="",$N$10=""),"",IF($D$10="COBRE",VLOOKUP(CDV_PROY_BT!H103,FDV!$B$16:$E$24,IF(CDV_PROY_BT!$N$10="3F",3,4),FALSE),IF($D$10="ACS",VLOOKUP(CDV_PROY_BT!H103,FDV!$B$10:$E$15,IF(CDV_PROY_BT!$N$10="3F",3,4),FALSE),IF($D$10="5005 (PREENSAMBLADO)",VLOOKUP(CDV_PROY_BT!H103,FDV!$B$4:$E$9,IF(CDV_PROY_BT!$N$10="3F",3,4),FALSE),VLOOKUP(CDV_PROY_BT!H103,FDV!$B$25:$E$30,IF(CDV_PROY_BT!$N$10="3F",3,4),FALSE)))))</f>
        <v/>
      </c>
      <c r="K103" s="63" t="str">
        <f t="shared" si="9"/>
        <v/>
      </c>
      <c r="L103" s="62" t="str">
        <f t="shared" si="11"/>
        <v/>
      </c>
      <c r="M103" s="62" t="str">
        <f t="shared" si="12"/>
        <v/>
      </c>
      <c r="N103" s="155"/>
      <c r="U103" s="138">
        <f t="shared" si="13"/>
        <v>0</v>
      </c>
      <c r="V103" s="138">
        <f t="shared" si="14"/>
        <v>0</v>
      </c>
    </row>
    <row r="104" spans="1:22" ht="15" hidden="1">
      <c r="A104" s="167"/>
      <c r="B104" s="168"/>
      <c r="C104" s="169"/>
      <c r="D104" s="169"/>
      <c r="E104" s="170"/>
      <c r="F104" s="58" t="str">
        <f>IF($N$67="","",IF($N$67="INDUSTRIAL",IF(OR($D$65="",$D$71=""),"",IF(OR(D104&gt;$D$72,E104&gt;$D$73),"Rev. Total. abona.",IF(D104="",IF(E104="","",E104/(0.92*1000)),IF(OR($D$65="SAN CRISTOBAL",$D$65="FLOREANA"),VLOOKUP(D104,'Estratos SCY - FLO'!$A$4:$M$108,IF($D$71="A1",2,IF($D$71="A",5,IF($D$71="B",8,11))))+E104/(0.92*1000),VLOOKUP(D104,'Estratos SCX - ISA'!$A$3:$M$107,IF($D$71="A1",2,IF($D$71="A",5,IF($D$71="B",8,11))))+E104/(0.92*1000))))),IF(OR($D$65="",$D$71=""),"",IF(OR(D104&gt;$D$72,E104&gt;$D$73),"Rev. Total. abona.",IF(D104="",IF(E104="","",E104/(0.92*1000)),IF(OR($D$65="SAN CRISTOBAL",$D$65="FLOREANA"),VLOOKUP(D104,'Estratos SCY - FLO'!$O$4:$S$108,IF($D$71="A1",2,IF($D$71="A",3,IF($D$71="B",4,5))))+E104/(0.92*1000),VLOOKUP(D104,'Estratos SCX - ISA'!$O$4:$S$108,IF($D$71="A1",2,IF($D$71="A",3,IF($D$71="B",4,5))))+E104/(0.92*1000)))))))</f>
        <v/>
      </c>
      <c r="G104" s="59" t="str">
        <f t="shared" si="10"/>
        <v/>
      </c>
      <c r="H104" s="183"/>
      <c r="I104" s="183"/>
      <c r="J104" s="59" t="str">
        <f>IF(OR(H104="",$D$10="",$N$10=""),"",IF($D$10="COBRE",VLOOKUP(CDV_PROY_BT!H104,FDV!$B$16:$E$24,IF(CDV_PROY_BT!$N$10="3F",3,4),FALSE),IF($D$10="ACS",VLOOKUP(CDV_PROY_BT!H104,FDV!$B$10:$E$15,IF(CDV_PROY_BT!$N$10="3F",3,4),FALSE),IF($D$10="5005 (PREENSAMBLADO)",VLOOKUP(CDV_PROY_BT!H104,FDV!$B$4:$E$9,IF(CDV_PROY_BT!$N$10="3F",3,4),FALSE),VLOOKUP(CDV_PROY_BT!H104,FDV!$B$25:$E$30,IF(CDV_PROY_BT!$N$10="3F",3,4),FALSE)))))</f>
        <v/>
      </c>
      <c r="K104" s="63" t="str">
        <f t="shared" si="9"/>
        <v/>
      </c>
      <c r="L104" s="62" t="str">
        <f t="shared" si="11"/>
        <v/>
      </c>
      <c r="M104" s="62" t="str">
        <f t="shared" si="12"/>
        <v/>
      </c>
      <c r="N104" s="155"/>
      <c r="U104" s="138">
        <f t="shared" si="13"/>
        <v>0</v>
      </c>
      <c r="V104" s="138">
        <f t="shared" si="14"/>
        <v>0</v>
      </c>
    </row>
    <row r="105" spans="1:22" ht="15" hidden="1">
      <c r="A105" s="167"/>
      <c r="B105" s="168"/>
      <c r="C105" s="169"/>
      <c r="D105" s="169"/>
      <c r="E105" s="170"/>
      <c r="F105" s="58" t="str">
        <f>IF($N$67="","",IF($N$67="INDUSTRIAL",IF(OR($D$65="",$D$71=""),"",IF(OR(D105&gt;$D$72,E105&gt;$D$73),"Rev. Total. abona.",IF(D105="",IF(E105="","",E105/(0.92*1000)),IF(OR($D$65="SAN CRISTOBAL",$D$65="FLOREANA"),VLOOKUP(D105,'Estratos SCY - FLO'!$A$4:$M$108,IF($D$71="A1",2,IF($D$71="A",5,IF($D$71="B",8,11))))+E105/(0.92*1000),VLOOKUP(D105,'Estratos SCX - ISA'!$A$3:$M$107,IF($D$71="A1",2,IF($D$71="A",5,IF($D$71="B",8,11))))+E105/(0.92*1000))))),IF(OR($D$65="",$D$71=""),"",IF(OR(D105&gt;$D$72,E105&gt;$D$73),"Rev. Total. abona.",IF(D105="",IF(E105="","",E105/(0.92*1000)),IF(OR($D$65="SAN CRISTOBAL",$D$65="FLOREANA"),VLOOKUP(D105,'Estratos SCY - FLO'!$O$4:$S$108,IF($D$71="A1",2,IF($D$71="A",3,IF($D$71="B",4,5))))+E105/(0.92*1000),VLOOKUP(D105,'Estratos SCX - ISA'!$O$4:$S$108,IF($D$71="A1",2,IF($D$71="A",3,IF($D$71="B",4,5))))+E105/(0.92*1000)))))))</f>
        <v/>
      </c>
      <c r="G105" s="59" t="str">
        <f t="shared" si="10"/>
        <v/>
      </c>
      <c r="H105" s="183"/>
      <c r="I105" s="183"/>
      <c r="J105" s="59" t="str">
        <f>IF(OR(H105="",$D$10="",$N$10=""),"",IF($D$10="COBRE",VLOOKUP(CDV_PROY_BT!H105,FDV!$B$16:$E$24,IF(CDV_PROY_BT!$N$10="3F",3,4),FALSE),IF($D$10="ACS",VLOOKUP(CDV_PROY_BT!H105,FDV!$B$10:$E$15,IF(CDV_PROY_BT!$N$10="3F",3,4),FALSE),IF($D$10="5005 (PREENSAMBLADO)",VLOOKUP(CDV_PROY_BT!H105,FDV!$B$4:$E$9,IF(CDV_PROY_BT!$N$10="3F",3,4),FALSE),VLOOKUP(CDV_PROY_BT!H105,FDV!$B$25:$E$30,IF(CDV_PROY_BT!$N$10="3F",3,4),FALSE)))))</f>
        <v/>
      </c>
      <c r="K105" s="63" t="str">
        <f t="shared" si="9"/>
        <v/>
      </c>
      <c r="L105" s="62" t="str">
        <f t="shared" si="11"/>
        <v/>
      </c>
      <c r="M105" s="62" t="str">
        <f t="shared" si="12"/>
        <v/>
      </c>
      <c r="N105" s="155"/>
      <c r="U105" s="138">
        <f t="shared" si="13"/>
        <v>0</v>
      </c>
      <c r="V105" s="138">
        <f t="shared" si="14"/>
        <v>0</v>
      </c>
    </row>
    <row r="106" spans="1:22" ht="15" hidden="1">
      <c r="A106" s="167"/>
      <c r="B106" s="168"/>
      <c r="C106" s="169"/>
      <c r="D106" s="169"/>
      <c r="E106" s="170"/>
      <c r="F106" s="58" t="str">
        <f>IF($N$67="","",IF($N$67="INDUSTRIAL",IF(OR($D$65="",$D$71=""),"",IF(OR(D106&gt;$D$72,E106&gt;$D$73),"Rev. Total. abona.",IF(D106="",IF(E106="","",E106/(0.92*1000)),IF(OR($D$65="SAN CRISTOBAL",$D$65="FLOREANA"),VLOOKUP(D106,'Estratos SCY - FLO'!$A$4:$M$108,IF($D$71="A1",2,IF($D$71="A",5,IF($D$71="B",8,11))))+E106/(0.92*1000),VLOOKUP(D106,'Estratos SCX - ISA'!$A$3:$M$107,IF($D$71="A1",2,IF($D$71="A",5,IF($D$71="B",8,11))))+E106/(0.92*1000))))),IF(OR($D$65="",$D$71=""),"",IF(OR(D106&gt;$D$72,E106&gt;$D$73),"Rev. Total. abona.",IF(D106="",IF(E106="","",E106/(0.92*1000)),IF(OR($D$65="SAN CRISTOBAL",$D$65="FLOREANA"),VLOOKUP(D106,'Estratos SCY - FLO'!$O$4:$S$108,IF($D$71="A1",2,IF($D$71="A",3,IF($D$71="B",4,5))))+E106/(0.92*1000),VLOOKUP(D106,'Estratos SCX - ISA'!$O$4:$S$108,IF($D$71="A1",2,IF($D$71="A",3,IF($D$71="B",4,5))))+E106/(0.92*1000)))))))</f>
        <v/>
      </c>
      <c r="G106" s="59" t="str">
        <f t="shared" si="10"/>
        <v/>
      </c>
      <c r="H106" s="183"/>
      <c r="I106" s="183"/>
      <c r="J106" s="59" t="str">
        <f>IF(OR(H106="",$D$10="",$N$10=""),"",IF($D$10="COBRE",VLOOKUP(CDV_PROY_BT!H106,FDV!$B$16:$E$24,IF(CDV_PROY_BT!$N$10="3F",3,4),FALSE),IF($D$10="ACS",VLOOKUP(CDV_PROY_BT!H106,FDV!$B$10:$E$15,IF(CDV_PROY_BT!$N$10="3F",3,4),FALSE),IF($D$10="5005 (PREENSAMBLADO)",VLOOKUP(CDV_PROY_BT!H106,FDV!$B$4:$E$9,IF(CDV_PROY_BT!$N$10="3F",3,4),FALSE),VLOOKUP(CDV_PROY_BT!H106,FDV!$B$25:$E$30,IF(CDV_PROY_BT!$N$10="3F",3,4),FALSE)))))</f>
        <v/>
      </c>
      <c r="K106" s="63" t="str">
        <f t="shared" si="9"/>
        <v/>
      </c>
      <c r="L106" s="62" t="str">
        <f t="shared" si="11"/>
        <v/>
      </c>
      <c r="M106" s="62" t="str">
        <f t="shared" si="12"/>
        <v/>
      </c>
      <c r="N106" s="155"/>
      <c r="U106" s="138">
        <f t="shared" si="13"/>
        <v>0</v>
      </c>
      <c r="V106" s="138">
        <f t="shared" si="14"/>
        <v>0</v>
      </c>
    </row>
    <row r="107" spans="1:22" ht="15" hidden="1">
      <c r="A107" s="167"/>
      <c r="B107" s="168"/>
      <c r="C107" s="169"/>
      <c r="D107" s="169"/>
      <c r="E107" s="170"/>
      <c r="F107" s="58" t="str">
        <f>IF($N$67="","",IF($N$67="INDUSTRIAL",IF(OR($D$65="",$D$71=""),"",IF(OR(D107&gt;$D$72,E107&gt;$D$73),"Rev. Total. abona.",IF(D107="",IF(E107="","",E107/(0.92*1000)),IF(OR($D$65="SAN CRISTOBAL",$D$65="FLOREANA"),VLOOKUP(D107,'Estratos SCY - FLO'!$A$4:$M$108,IF($D$71="A1",2,IF($D$71="A",5,IF($D$71="B",8,11))))+E107/(0.92*1000),VLOOKUP(D107,'Estratos SCX - ISA'!$A$3:$M$107,IF($D$71="A1",2,IF($D$71="A",5,IF($D$71="B",8,11))))+E107/(0.92*1000))))),IF(OR($D$65="",$D$71=""),"",IF(OR(D107&gt;$D$72,E107&gt;$D$73),"Rev. Total. abona.",IF(D107="",IF(E107="","",E107/(0.92*1000)),IF(OR($D$65="SAN CRISTOBAL",$D$65="FLOREANA"),VLOOKUP(D107,'Estratos SCY - FLO'!$O$4:$S$108,IF($D$71="A1",2,IF($D$71="A",3,IF($D$71="B",4,5))))+E107/(0.92*1000),VLOOKUP(D107,'Estratos SCX - ISA'!$O$4:$S$108,IF($D$71="A1",2,IF($D$71="A",3,IF($D$71="B",4,5))))+E107/(0.92*1000)))))))</f>
        <v/>
      </c>
      <c r="G107" s="59" t="str">
        <f t="shared" si="10"/>
        <v/>
      </c>
      <c r="H107" s="183"/>
      <c r="I107" s="183"/>
      <c r="J107" s="59" t="str">
        <f>IF(OR(H107="",$D$10="",$N$10=""),"",IF($D$10="COBRE",VLOOKUP(CDV_PROY_BT!H107,FDV!$B$16:$E$24,IF(CDV_PROY_BT!$N$10="3F",3,4),FALSE),IF($D$10="ACS",VLOOKUP(CDV_PROY_BT!H107,FDV!$B$10:$E$15,IF(CDV_PROY_BT!$N$10="3F",3,4),FALSE),IF($D$10="5005 (PREENSAMBLADO)",VLOOKUP(CDV_PROY_BT!H107,FDV!$B$4:$E$9,IF(CDV_PROY_BT!$N$10="3F",3,4),FALSE),VLOOKUP(CDV_PROY_BT!H107,FDV!$B$25:$E$30,IF(CDV_PROY_BT!$N$10="3F",3,4),FALSE)))))</f>
        <v/>
      </c>
      <c r="K107" s="63" t="str">
        <f t="shared" si="9"/>
        <v/>
      </c>
      <c r="L107" s="62" t="str">
        <f t="shared" si="11"/>
        <v/>
      </c>
      <c r="M107" s="62" t="str">
        <f t="shared" si="12"/>
        <v/>
      </c>
      <c r="N107" s="156"/>
      <c r="U107" s="138">
        <f t="shared" si="13"/>
        <v>0</v>
      </c>
      <c r="V107" s="138">
        <f t="shared" si="14"/>
        <v>0</v>
      </c>
    </row>
    <row r="108" spans="1:22" ht="15.75" hidden="1" thickBot="1">
      <c r="A108" s="178"/>
      <c r="B108" s="179"/>
      <c r="C108" s="180"/>
      <c r="D108" s="180"/>
      <c r="E108" s="181"/>
      <c r="F108" s="68" t="str">
        <f>IF($N$67="","",IF($N$67="INDUSTRIAL",IF(OR($D$65="",$D$71=""),"",IF(OR(D108&gt;$D$72,E108&gt;$D$73),"Rev. Total. abona.",IF(D108="",IF(E108="","",E108/(0.92*1000)),IF(OR($D$65="SAN CRISTOBAL",$D$65="FLOREANA"),VLOOKUP(D108,'Estratos SCY - FLO'!$A$4:$M$108,IF($D$71="A1",2,IF($D$71="A",5,IF($D$71="B",8,11))))+E108/(0.92*1000),VLOOKUP(D108,'Estratos SCX - ISA'!$A$3:$M$107,IF($D$71="A1",2,IF($D$71="A",5,IF($D$71="B",8,11))))+E108/(0.92*1000))))),IF(OR($D$65="",$D$71=""),"",IF(OR(D108&gt;$D$72,E108&gt;$D$73),"Rev. Total. abona.",IF(D108="",IF(E108="","",E108/(0.92*1000)),IF(OR($D$65="SAN CRISTOBAL",$D$65="FLOREANA"),VLOOKUP(D108,'Estratos SCY - FLO'!$O$4:$S$108,IF($D$71="A1",2,IF($D$71="A",3,IF($D$71="B",4,5))))+E108/(0.92*1000),VLOOKUP(D108,'Estratos SCX - ISA'!$O$4:$S$108,IF($D$71="A1",2,IF($D$71="A",3,IF($D$71="B",4,5))))+E108/(0.92*1000)))))))</f>
        <v/>
      </c>
      <c r="G108" s="69" t="str">
        <f t="shared" si="10"/>
        <v/>
      </c>
      <c r="H108" s="184"/>
      <c r="I108" s="184"/>
      <c r="J108" s="69" t="str">
        <f>IF(OR(H108="",$D$10="",$N$10=""),"",IF($D$10="COBRE",VLOOKUP(CDV_PROY_BT!H108,FDV!$B$16:$E$24,IF(CDV_PROY_BT!$N$10="3F",3,4),FALSE),IF($D$10="ACS",VLOOKUP(CDV_PROY_BT!H108,FDV!$B$10:$E$15,IF(CDV_PROY_BT!$N$10="3F",3,4),FALSE),IF($D$10="5005 (PREENSAMBLADO)",VLOOKUP(CDV_PROY_BT!H108,FDV!$B$4:$E$9,IF(CDV_PROY_BT!$N$10="3F",3,4),FALSE),VLOOKUP(CDV_PROY_BT!H108,FDV!$B$25:$E$30,IF(CDV_PROY_BT!$N$10="3F",3,4),FALSE)))))</f>
        <v/>
      </c>
      <c r="K108" s="65" t="str">
        <f t="shared" si="9"/>
        <v/>
      </c>
      <c r="L108" s="64" t="str">
        <f t="shared" si="11"/>
        <v/>
      </c>
      <c r="M108" s="64" t="str">
        <f t="shared" si="12"/>
        <v/>
      </c>
      <c r="N108" s="157"/>
      <c r="U108" s="138">
        <f t="shared" si="13"/>
        <v>0</v>
      </c>
      <c r="V108" s="138">
        <f t="shared" si="14"/>
        <v>0</v>
      </c>
    </row>
    <row r="109" spans="1:22" ht="15.75" hidden="1" thickBot="1">
      <c r="A109" s="143"/>
      <c r="B109" s="67" t="str">
        <f>IF(N78="","",N78)</f>
        <v>P18</v>
      </c>
      <c r="C109" s="144"/>
      <c r="D109" s="144"/>
      <c r="E109" s="145"/>
      <c r="F109" s="68"/>
      <c r="G109" s="69" t="str">
        <f t="shared" si="10"/>
        <v/>
      </c>
      <c r="H109" s="146" t="e">
        <f>IF(B109="","",IF(B109-A109=1,H108,""))</f>
        <v>#VALUE!</v>
      </c>
      <c r="I109" s="146"/>
      <c r="J109" s="70" t="e">
        <f>IF(OR(H109="",$D$10="",$N$10=""),"",IF($D$10="COBRE",VLOOKUP(CDV_PROY_BT!H109,FDV!$B$16:$E$24,IF(CDV_PROY_BT!$N$10="3F",3,4),FALSE),IF($D$10="ACS",VLOOKUP(CDV_PROY_BT!H109,FDV!$B$10:$E$15,IF(CDV_PROY_BT!$N$10="3F",3,4),FALSE),IF($D$10="5005 (PREENSAMBLADO)",VLOOKUP(CDV_PROY_BT!H109,FDV!$B$4:$E$9,IF(CDV_PROY_BT!$N$10="3F",3,4),FALSE),VLOOKUP(CDV_PROY_BT!H109,FDV!$B$25:$E$30,IF(CDV_PROY_BT!$N$10="3F",3,4),FALSE)))))</f>
        <v>#VALUE!</v>
      </c>
      <c r="K109" s="71" t="str">
        <f t="shared" si="9"/>
        <v/>
      </c>
      <c r="L109" s="68" t="str">
        <f aca="true" t="shared" si="15" ref="L109">IF(C109="","",ROUND(K109/J109,2))</f>
        <v/>
      </c>
      <c r="M109" s="72">
        <v>0</v>
      </c>
      <c r="N109" s="66"/>
      <c r="U109" s="138">
        <f aca="true" t="shared" si="16" ref="U109:U110">+IF(D109&gt;0,C109,0)</f>
        <v>0</v>
      </c>
      <c r="V109" s="138">
        <f aca="true" t="shared" si="17" ref="V109:V110">IF(C109="",0,C109*G109)</f>
        <v>0</v>
      </c>
    </row>
    <row r="110" spans="1:22" ht="15.75" hidden="1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33"/>
      <c r="U110" s="138">
        <f t="shared" si="16"/>
        <v>0</v>
      </c>
      <c r="V110" s="138">
        <f t="shared" si="17"/>
        <v>0</v>
      </c>
    </row>
    <row r="111" spans="1:14" ht="15.75" hidden="1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59</v>
      </c>
      <c r="G111" s="80" t="s">
        <v>57</v>
      </c>
      <c r="H111" s="81">
        <f>ROUND((SUMIF(H82:H108,"1/0",V82:V110))*1.015,0)</f>
        <v>0</v>
      </c>
      <c r="I111" s="93" t="s">
        <v>58</v>
      </c>
      <c r="J111" s="94">
        <f>ROUND((SUMIF(H82:H108,"2",V82:V110))*1.015,0)</f>
        <v>0</v>
      </c>
      <c r="K111" s="147"/>
      <c r="L111" s="91"/>
      <c r="M111" s="92"/>
      <c r="N111" s="234"/>
    </row>
    <row r="112" spans="1:14" ht="15.75" hidden="1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34"/>
    </row>
    <row r="113" spans="1:14" ht="15.75" hidden="1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59</v>
      </c>
      <c r="G113" s="93" t="s">
        <v>57</v>
      </c>
      <c r="H113" s="94">
        <f>ROUND((SUMIF(I82:I108,"1/0",U82:U110))*1.015,0)</f>
        <v>0</v>
      </c>
      <c r="I113" s="93" t="s">
        <v>58</v>
      </c>
      <c r="J113" s="94">
        <f>ROUND((SUMIF(I82:I108,"2",U82:U110))*1.015,0)</f>
        <v>0</v>
      </c>
      <c r="L113" s="91"/>
      <c r="M113" s="92"/>
      <c r="N113" s="234"/>
    </row>
    <row r="114" spans="1:14" ht="15.75" hidden="1" thickBot="1">
      <c r="A114" s="235" t="s">
        <v>123</v>
      </c>
      <c r="B114" s="235"/>
      <c r="C114" s="235"/>
      <c r="D114" s="21">
        <f>IF(N69="","",SUM(C82:C108))</f>
        <v>58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 hidden="1">
      <c r="A115" s="36" t="s">
        <v>60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7"/>
      <c r="N115" s="84" t="s">
        <v>61</v>
      </c>
    </row>
    <row r="116" spans="1:14" ht="15.75" hidden="1" thickBot="1">
      <c r="A116" s="14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9"/>
      <c r="N116" s="85">
        <f>MAX(N82:N108)</f>
        <v>3.16</v>
      </c>
    </row>
    <row r="117" ht="15" hidden="1"/>
    <row r="118" ht="15.75" hidden="1" thickBot="1"/>
    <row r="119" spans="1:14" ht="15.75" hidden="1" thickBot="1">
      <c r="A119" s="18"/>
      <c r="B119" s="18"/>
      <c r="C119" s="19"/>
      <c r="D119" s="19"/>
      <c r="E119" s="19"/>
      <c r="F119" s="20"/>
      <c r="G119" s="18"/>
      <c r="H119" s="18"/>
      <c r="I119" s="18"/>
      <c r="J119" s="19"/>
      <c r="K119" s="18"/>
      <c r="L119" s="18"/>
      <c r="M119" s="131" t="s">
        <v>122</v>
      </c>
      <c r="N119" s="161" t="s">
        <v>196</v>
      </c>
    </row>
    <row r="120" spans="1:14" ht="18" hidden="1">
      <c r="A120" s="256" t="s">
        <v>62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</row>
    <row r="121" spans="1:14" ht="18" hidden="1">
      <c r="A121" s="192"/>
      <c r="B121" s="192"/>
      <c r="C121" s="192"/>
      <c r="D121" s="192"/>
      <c r="E121" s="192"/>
      <c r="F121" s="22" t="s">
        <v>111</v>
      </c>
      <c r="G121" s="192"/>
      <c r="H121" s="192"/>
      <c r="I121" s="192"/>
      <c r="J121" s="192"/>
      <c r="K121" s="192"/>
      <c r="L121" s="192"/>
      <c r="M121" s="192"/>
      <c r="N121" s="87"/>
    </row>
    <row r="122" spans="1:31" ht="15.75" hidden="1">
      <c r="A122" s="257" t="s">
        <v>112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U122" s="138" t="s">
        <v>63</v>
      </c>
      <c r="W122" s="138" t="s">
        <v>24</v>
      </c>
      <c r="Y122" s="138" t="s">
        <v>69</v>
      </c>
      <c r="AA122" s="138" t="s">
        <v>72</v>
      </c>
      <c r="AB122" s="138" t="s">
        <v>77</v>
      </c>
      <c r="AC122" s="138" t="s">
        <v>79</v>
      </c>
      <c r="AD122" s="138" t="s">
        <v>160</v>
      </c>
      <c r="AE122" s="138" t="s">
        <v>166</v>
      </c>
    </row>
    <row r="123" spans="1:31" ht="16.5" hidden="1" thickBot="1">
      <c r="A123" s="24"/>
      <c r="B123" s="18"/>
      <c r="C123" s="19"/>
      <c r="D123" s="19"/>
      <c r="E123" s="19"/>
      <c r="F123" s="20"/>
      <c r="G123" s="20"/>
      <c r="H123" s="18"/>
      <c r="I123" s="18"/>
      <c r="J123" s="18"/>
      <c r="K123" s="19"/>
      <c r="L123" s="18"/>
      <c r="M123" s="18"/>
      <c r="N123" s="23"/>
      <c r="U123" s="138" t="s">
        <v>64</v>
      </c>
      <c r="W123" s="138" t="s">
        <v>82</v>
      </c>
      <c r="Y123" s="138" t="s">
        <v>70</v>
      </c>
      <c r="AA123" s="138" t="s">
        <v>73</v>
      </c>
      <c r="AB123" s="138" t="s">
        <v>29</v>
      </c>
      <c r="AC123" s="139">
        <v>2</v>
      </c>
      <c r="AD123" s="138" t="s">
        <v>161</v>
      </c>
      <c r="AE123" s="138">
        <v>0.65</v>
      </c>
    </row>
    <row r="124" spans="1:31" ht="15.75" hidden="1" thickBot="1">
      <c r="A124" s="25" t="s">
        <v>23</v>
      </c>
      <c r="B124" s="26"/>
      <c r="C124" s="88"/>
      <c r="D124" s="246" t="s">
        <v>64</v>
      </c>
      <c r="E124" s="246"/>
      <c r="F124" s="258" t="s">
        <v>92</v>
      </c>
      <c r="G124" s="259"/>
      <c r="H124" s="260" t="e">
        <f>+H65</f>
        <v>#REF!</v>
      </c>
      <c r="I124" s="261"/>
      <c r="J124" s="262"/>
      <c r="K124" s="263" t="s">
        <v>81</v>
      </c>
      <c r="L124" s="264"/>
      <c r="M124" s="265" t="e">
        <f>+M65</f>
        <v>#REF!</v>
      </c>
      <c r="N124" s="266"/>
      <c r="U124" s="138" t="s">
        <v>65</v>
      </c>
      <c r="W124" s="138" t="s">
        <v>83</v>
      </c>
      <c r="Y124" s="138" t="s">
        <v>7</v>
      </c>
      <c r="AA124" s="138" t="s">
        <v>76</v>
      </c>
      <c r="AB124" s="138" t="s">
        <v>78</v>
      </c>
      <c r="AC124" s="139" t="s">
        <v>0</v>
      </c>
      <c r="AD124" s="138" t="s">
        <v>162</v>
      </c>
      <c r="AE124" s="138">
        <v>0.7</v>
      </c>
    </row>
    <row r="125" spans="1:31" ht="15.75" hidden="1" thickBot="1">
      <c r="A125" s="21"/>
      <c r="B125" s="21"/>
      <c r="C125" s="21"/>
      <c r="D125" s="21"/>
      <c r="E125" s="21"/>
      <c r="F125" s="28"/>
      <c r="G125" s="28"/>
      <c r="H125" s="21"/>
      <c r="I125" s="21"/>
      <c r="J125" s="21"/>
      <c r="K125" s="21"/>
      <c r="L125" s="21"/>
      <c r="M125" s="21"/>
      <c r="N125" s="23"/>
      <c r="U125" s="138" t="s">
        <v>66</v>
      </c>
      <c r="W125" s="138" t="s">
        <v>68</v>
      </c>
      <c r="Y125" s="138" t="s">
        <v>27</v>
      </c>
      <c r="AA125" s="138" t="s">
        <v>74</v>
      </c>
      <c r="AC125" s="139" t="s">
        <v>1</v>
      </c>
      <c r="AD125" s="138" t="s">
        <v>163</v>
      </c>
      <c r="AE125" s="138">
        <v>0.8</v>
      </c>
    </row>
    <row r="126" spans="1:31" ht="15.75" hidden="1" thickBot="1">
      <c r="A126" s="25" t="s">
        <v>24</v>
      </c>
      <c r="B126" s="26"/>
      <c r="C126" s="26"/>
      <c r="D126" s="245" t="s">
        <v>68</v>
      </c>
      <c r="E126" s="246"/>
      <c r="F126" s="247"/>
      <c r="G126" s="26"/>
      <c r="H126" s="29"/>
      <c r="I126" s="29"/>
      <c r="J126" s="26"/>
      <c r="K126" s="26"/>
      <c r="L126" s="26" t="s">
        <v>164</v>
      </c>
      <c r="M126" s="26"/>
      <c r="N126" s="208" t="s">
        <v>163</v>
      </c>
      <c r="U126" s="138" t="s">
        <v>67</v>
      </c>
      <c r="Y126" s="138" t="s">
        <v>9</v>
      </c>
      <c r="AA126" s="138" t="s">
        <v>75</v>
      </c>
      <c r="AC126" s="139" t="s">
        <v>2</v>
      </c>
      <c r="AE126" s="138">
        <v>0.9</v>
      </c>
    </row>
    <row r="127" spans="1:31" ht="15.75" hidden="1" thickBot="1">
      <c r="A127" s="23" t="s">
        <v>25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 t="s">
        <v>168</v>
      </c>
      <c r="L127" s="205"/>
      <c r="M127" s="23"/>
      <c r="N127" s="43" t="str">
        <f>IF(N128="","",IF(N128="3F","220 / 127 V","240 / 120 V"))</f>
        <v>220 / 127 V</v>
      </c>
      <c r="AC127" s="141" t="s">
        <v>3</v>
      </c>
      <c r="AE127" s="138">
        <v>1</v>
      </c>
    </row>
    <row r="128" spans="1:24" ht="15.75" hidden="1" thickBot="1">
      <c r="A128" s="30" t="s">
        <v>26</v>
      </c>
      <c r="B128" s="18"/>
      <c r="C128" s="23"/>
      <c r="D128" s="248" t="s">
        <v>70</v>
      </c>
      <c r="E128" s="249"/>
      <c r="F128" s="18"/>
      <c r="G128" s="18"/>
      <c r="H128" s="18"/>
      <c r="I128" s="18"/>
      <c r="J128" s="18"/>
      <c r="K128" s="23"/>
      <c r="L128" s="18" t="s">
        <v>169</v>
      </c>
      <c r="M128" s="18"/>
      <c r="N128" s="151" t="s">
        <v>78</v>
      </c>
      <c r="U128" s="138" t="s">
        <v>64</v>
      </c>
      <c r="W128" s="138" t="s">
        <v>29</v>
      </c>
      <c r="X128" s="138" t="s">
        <v>78</v>
      </c>
    </row>
    <row r="129" spans="1:24" ht="15.75" hidden="1" thickBot="1">
      <c r="A129" s="23"/>
      <c r="B129" s="31"/>
      <c r="C129" s="23"/>
      <c r="D129" s="19"/>
      <c r="E129" s="32"/>
      <c r="F129" s="32"/>
      <c r="G129" s="20"/>
      <c r="H129" s="20"/>
      <c r="I129" s="20"/>
      <c r="J129" s="33"/>
      <c r="K129" s="21" t="s">
        <v>165</v>
      </c>
      <c r="L129" s="35"/>
      <c r="M129" s="18"/>
      <c r="N129" s="206">
        <v>0.8</v>
      </c>
      <c r="U129" s="138" t="s">
        <v>84</v>
      </c>
      <c r="W129" s="138">
        <v>10</v>
      </c>
      <c r="X129" s="138">
        <v>30</v>
      </c>
    </row>
    <row r="130" spans="1:24" ht="15.75" hidden="1" thickBot="1">
      <c r="A130" s="36" t="s">
        <v>71</v>
      </c>
      <c r="B130" s="37"/>
      <c r="C130" s="37"/>
      <c r="D130" s="150" t="s">
        <v>73</v>
      </c>
      <c r="E130" s="38"/>
      <c r="F130" s="39"/>
      <c r="G130" s="39"/>
      <c r="H130" s="39"/>
      <c r="I130" s="39"/>
      <c r="J130" s="37"/>
      <c r="K130" s="36"/>
      <c r="L130" s="37"/>
      <c r="M130" s="89" t="s">
        <v>30</v>
      </c>
      <c r="N130" s="190" t="s">
        <v>132</v>
      </c>
      <c r="U130" s="138" t="s">
        <v>85</v>
      </c>
      <c r="W130" s="138">
        <v>15</v>
      </c>
      <c r="X130" s="138">
        <v>50</v>
      </c>
    </row>
    <row r="131" spans="1:24" ht="15.75" hidden="1" thickBot="1">
      <c r="A131" s="41" t="s">
        <v>31</v>
      </c>
      <c r="B131" s="21"/>
      <c r="C131" s="21"/>
      <c r="D131" s="150">
        <v>19</v>
      </c>
      <c r="E131" s="21"/>
      <c r="F131" s="28"/>
      <c r="G131" s="42" t="s">
        <v>32</v>
      </c>
      <c r="H131" s="250" t="e">
        <f>+H72</f>
        <v>#REF!</v>
      </c>
      <c r="I131" s="251"/>
      <c r="J131" s="251"/>
      <c r="K131" s="41"/>
      <c r="L131" s="21"/>
      <c r="M131" s="115" t="s">
        <v>93</v>
      </c>
      <c r="N131" s="207">
        <f>+N132/N129</f>
        <v>118.72328783502078</v>
      </c>
      <c r="U131" s="138" t="s">
        <v>86</v>
      </c>
      <c r="W131" s="138">
        <v>25</v>
      </c>
      <c r="X131" s="138">
        <v>75</v>
      </c>
    </row>
    <row r="132" spans="1:24" ht="15.75" hidden="1" thickBot="1">
      <c r="A132" s="41" t="s">
        <v>34</v>
      </c>
      <c r="B132" s="21"/>
      <c r="C132" s="21"/>
      <c r="D132" s="162">
        <v>330</v>
      </c>
      <c r="E132" s="41"/>
      <c r="F132" s="28"/>
      <c r="G132" s="42" t="s">
        <v>35</v>
      </c>
      <c r="H132" s="252" t="e">
        <f>+H73</f>
        <v>#REF!</v>
      </c>
      <c r="I132" s="253"/>
      <c r="J132" s="253"/>
      <c r="K132" s="41"/>
      <c r="L132" s="21"/>
      <c r="M132" s="115" t="s">
        <v>167</v>
      </c>
      <c r="N132" s="116">
        <f>IF($N$126="","",IF($N$126="INDUSTRIAL",IF(OR(D124="",D130="",D131=""),"",(IF(OR(D124="SAN CRISTOBAL",D124="FLOREANA"),VLOOKUP(D131,'Estratos SCY - FLO'!$A$4:$M$108,IF(D130="A1",2,IF(D130="A",5,IF(D130="B",8,11))),0),VLOOKUP(D131,'Estratos SCX - ISA'!$A$4:$M$108,IF(D130="A1",2,IF(D130="A",5,IF(D130="B",8,11))),0))+D132/920)*N129),IF(OR(D124="",D130="",D131=""),"",(IF(OR(D124="SAN CRISTOBAL",D124="FLOREANA"),VLOOKUP(D131,'Estratos SCY - FLO'!$O$4:$S$108,IF(D130="A1",2,IF(D130="A",3,IF(D130="B",4,5))),0),VLOOKUP(D131,'Estratos SCX - ISA'!$O$4:$S$108,IF(D130="A1",2,IF(D130="A",3,IF(D130="B",4,5))),0))+D132/920)*N129)))</f>
        <v>94.97863026801663</v>
      </c>
      <c r="U132" s="138" t="s">
        <v>87</v>
      </c>
      <c r="W132" s="138">
        <v>37.5</v>
      </c>
      <c r="X132" s="138">
        <v>100</v>
      </c>
    </row>
    <row r="133" spans="1:24" ht="29.25" customHeight="1" hidden="1" thickBot="1">
      <c r="A133" s="254" t="str">
        <f>+IF(OR(N126="INDUSTRIAL"),"NOTA: Estratos:  A1 (Consumo-Alto); A (Consumo-Medio); B(Consumo-Bajo); C(Consumo-Mínimo)",IF(N126="","","NOTA: Estratos:  A1 (Casco Urbano-Sector hotelero);A (Barrios Centricos); B(Zona Periferica); C(Zona Rural)"))</f>
        <v>NOTA: Estratos:  A1 (Consumo-Alto); A (Consumo-Medio); B(Consumo-Bajo); C(Consumo-Mínimo)</v>
      </c>
      <c r="B133" s="255"/>
      <c r="C133" s="255"/>
      <c r="D133" s="255"/>
      <c r="E133" s="255"/>
      <c r="F133" s="255"/>
      <c r="G133" s="255"/>
      <c r="H133" s="255"/>
      <c r="I133" s="255"/>
      <c r="J133" s="255"/>
      <c r="K133" s="44"/>
      <c r="L133" s="34"/>
      <c r="M133" s="130" t="str">
        <f>+IF(OR(N128="",D130="",D131=""),"","POT. NOMINAL TRAFO. (KVA):")</f>
        <v>POT. NOMINAL TRAFO. (KVA):</v>
      </c>
      <c r="N133" s="117">
        <f>IF(OR(N128="",N129="",N129=0),"",IF(N128="1F",IF(N132&lt;$W$11,$W$11,IF(AND(N132&gt;$W$11,N132&lt;$W$12),$W$12,IF(AND(N132&gt;$W$12,N132&lt;$W$13),$W$13,IF(AND(N132&gt;$W$13,N132&lt;$W$14),$W$14,IF(AND(N132&gt;$W$14,N132&lt;$W$15),$W$15,IF(AND(N132&gt;$W$15,N132&lt;$W$16),$W$16,IF(AND(N132&gt;$W$16,N132&lt;$W$17),$W$17,IF(AND(N132&gt;$W$17,N132&lt;$W$18),$W$18,IF(AND(N132&gt;$W$18,N132&lt;$W$19),$W$19,""))))))))),IF($N$132&lt;$X$11,$X$11,IF(AND(N132&gt;$X$11,N132&lt;$X$12),$X$12,IF(AND(N132&gt;$X$12,N132&lt;$X$13),$X$13,IF(AND(N132&gt;$X$13,N132&lt;$X$14),$X$14,IF(AND(N132&gt;$X$14,N132&lt;$X$15),$X$15,IF(AND(N132&gt;$X$15,N132&lt;$X$16),$X$16,IF(AND(N132&gt;$X$16,N132&lt;$X$17),$X$17,"")))))))))</f>
        <v>100</v>
      </c>
      <c r="U133" s="138" t="s">
        <v>88</v>
      </c>
      <c r="W133" s="138">
        <v>50</v>
      </c>
      <c r="X133" s="138">
        <v>125</v>
      </c>
    </row>
    <row r="134" spans="1:24" ht="15.75" hidden="1" thickBot="1">
      <c r="A134" s="21"/>
      <c r="B134" s="21"/>
      <c r="C134" s="21"/>
      <c r="D134" s="21"/>
      <c r="E134" s="21"/>
      <c r="F134" s="28"/>
      <c r="G134" s="28"/>
      <c r="H134" s="21"/>
      <c r="I134" s="21"/>
      <c r="J134" s="21"/>
      <c r="K134" s="21"/>
      <c r="L134" s="21"/>
      <c r="M134" s="21"/>
      <c r="N134" s="23"/>
      <c r="U134" s="138" t="s">
        <v>89</v>
      </c>
      <c r="W134" s="138">
        <v>75</v>
      </c>
      <c r="X134" s="138">
        <v>150</v>
      </c>
    </row>
    <row r="135" spans="1:24" ht="19.5" hidden="1" thickBot="1">
      <c r="A135" s="46" t="s">
        <v>36</v>
      </c>
      <c r="B135" s="47"/>
      <c r="C135" s="47"/>
      <c r="D135" s="48" t="s">
        <v>37</v>
      </c>
      <c r="E135" s="49"/>
      <c r="F135" s="50"/>
      <c r="G135" s="50"/>
      <c r="H135" s="37"/>
      <c r="I135" s="37"/>
      <c r="J135" s="37"/>
      <c r="K135" s="37"/>
      <c r="L135" s="37"/>
      <c r="M135" s="37"/>
      <c r="N135" s="40"/>
      <c r="U135" s="138" t="s">
        <v>90</v>
      </c>
      <c r="W135" s="138">
        <v>100</v>
      </c>
      <c r="X135" s="138">
        <v>200</v>
      </c>
    </row>
    <row r="136" spans="1:23" ht="15.75" hidden="1" thickBot="1">
      <c r="A136" s="41"/>
      <c r="B136" s="21"/>
      <c r="C136" s="21"/>
      <c r="D136" s="21"/>
      <c r="E136" s="21"/>
      <c r="F136" s="28"/>
      <c r="G136" s="28"/>
      <c r="H136" s="21"/>
      <c r="I136" s="21"/>
      <c r="J136" s="21"/>
      <c r="K136" s="21"/>
      <c r="L136" s="21" t="s">
        <v>186</v>
      </c>
      <c r="M136" s="21"/>
      <c r="N136" s="163"/>
      <c r="U136" s="138" t="s">
        <v>91</v>
      </c>
      <c r="W136" s="138">
        <v>112.5</v>
      </c>
    </row>
    <row r="137" spans="1:23" ht="15.75" hidden="1" thickBot="1">
      <c r="A137" s="44"/>
      <c r="B137" s="34"/>
      <c r="C137" s="34"/>
      <c r="D137" s="34"/>
      <c r="E137" s="34"/>
      <c r="F137" s="45"/>
      <c r="G137" s="45"/>
      <c r="H137" s="34"/>
      <c r="I137" s="34"/>
      <c r="J137" s="34"/>
      <c r="K137" s="34"/>
      <c r="L137" s="113" t="s">
        <v>102</v>
      </c>
      <c r="M137" s="142"/>
      <c r="N137" s="163" t="s">
        <v>146</v>
      </c>
      <c r="W137" s="138">
        <v>125</v>
      </c>
    </row>
    <row r="138" spans="1:14" ht="15.75" hidden="1" thickBot="1">
      <c r="A138" s="21"/>
      <c r="B138" s="21"/>
      <c r="C138" s="21"/>
      <c r="D138" s="21"/>
      <c r="E138" s="21"/>
      <c r="F138" s="28"/>
      <c r="G138" s="28"/>
      <c r="H138" s="21"/>
      <c r="I138" s="21"/>
      <c r="J138" s="21"/>
      <c r="K138" s="21"/>
      <c r="L138" s="21"/>
      <c r="M138" s="21"/>
      <c r="N138" s="23"/>
    </row>
    <row r="139" spans="1:22" ht="15.75" hidden="1" thickBot="1">
      <c r="A139" s="240" t="s">
        <v>38</v>
      </c>
      <c r="B139" s="241"/>
      <c r="C139" s="52" t="s">
        <v>39</v>
      </c>
      <c r="D139" s="52" t="s">
        <v>40</v>
      </c>
      <c r="E139" s="53" t="s">
        <v>41</v>
      </c>
      <c r="F139" s="53" t="s">
        <v>42</v>
      </c>
      <c r="G139" s="240" t="s">
        <v>43</v>
      </c>
      <c r="H139" s="242"/>
      <c r="I139" s="242"/>
      <c r="J139" s="241"/>
      <c r="K139" s="243" t="s">
        <v>44</v>
      </c>
      <c r="L139" s="242" t="s">
        <v>45</v>
      </c>
      <c r="M139" s="242"/>
      <c r="N139" s="241"/>
      <c r="U139" s="232" t="s">
        <v>98</v>
      </c>
      <c r="V139" s="232" t="s">
        <v>99</v>
      </c>
    </row>
    <row r="140" spans="1:22" ht="15.75" hidden="1" thickBot="1">
      <c r="A140" s="52" t="s">
        <v>46</v>
      </c>
      <c r="B140" s="52" t="s">
        <v>47</v>
      </c>
      <c r="C140" s="54" t="s">
        <v>48</v>
      </c>
      <c r="D140" s="54" t="s">
        <v>49</v>
      </c>
      <c r="E140" s="55" t="s">
        <v>50</v>
      </c>
      <c r="F140" s="55" t="s">
        <v>51</v>
      </c>
      <c r="G140" s="56" t="s">
        <v>52</v>
      </c>
      <c r="H140" s="43" t="s">
        <v>105</v>
      </c>
      <c r="I140" s="124" t="s">
        <v>106</v>
      </c>
      <c r="J140" s="43" t="s">
        <v>53</v>
      </c>
      <c r="K140" s="244"/>
      <c r="L140" s="53" t="s">
        <v>54</v>
      </c>
      <c r="M140" s="43" t="s">
        <v>55</v>
      </c>
      <c r="N140" s="57" t="s">
        <v>56</v>
      </c>
      <c r="U140" s="232"/>
      <c r="V140" s="232"/>
    </row>
    <row r="141" spans="1:22" ht="15" hidden="1">
      <c r="A141" s="191" t="str">
        <f>IF(N137="","",N137)</f>
        <v>P22</v>
      </c>
      <c r="B141" s="164" t="s">
        <v>145</v>
      </c>
      <c r="C141" s="165">
        <v>29</v>
      </c>
      <c r="D141" s="165">
        <v>5</v>
      </c>
      <c r="E141" s="166">
        <v>110</v>
      </c>
      <c r="F141" s="193">
        <f>IF($N$126="","",IF($N$126="INDUSTRIAL",IF(OR($D$124="",$D$130=""),"",IF(OR(D141&gt;$D$131,E141&gt;$D$132),"Rev. Total. abona.",IF(D141="",IF(E141="","",E141/(0.92*1000)),IF(OR($D$124="SAN CRISTOBAL",$D$124="FLOREANA"),VLOOKUP(D141,'Estratos SCY - FLO'!$A$4:$M$108,IF($D$130="A1",2,IF($D$130="A",5,IF($D$130="B",8,11))))+E141/(0.92*1000),VLOOKUP(D141,'Estratos SCX - ISA'!$A$3:$M$107,IF($D$130="A1",2,IF($D$130="A",5,IF($D$130="B",8,11))))+E141/(0.92*1000))))),IF(OR($D$124="",$D$130=""),"",IF(OR(D141&gt;$D$131,E141&gt;$D$132),"Rev. Total. abona.",IF(D141="",IF(E141="","",E141/(0.92*1000)),IF(OR($D$124="SAN CRISTOBAL",$D$124="FLOREANA"),VLOOKUP(D141,'Estratos SCY - FLO'!$O$4:$S$108,IF($D$130="A1",2,IF($D$130="A",3,IF($D$130="B",4,5))))+E141/(0.92*1000),VLOOKUP(D141,'Estratos SCX - ISA'!$O$4:$S$108,IF($D$130="A1",2,IF($D$130="A",3,IF($D$130="B",4,5))))+E141/(0.92*1000)))))))</f>
        <v>35.24475934799689</v>
      </c>
      <c r="G141" s="95">
        <f>IF(OR($N$10="",C141=""),"",IF($N$10="1F",1,3))</f>
        <v>1</v>
      </c>
      <c r="H141" s="182" t="s">
        <v>1</v>
      </c>
      <c r="I141" s="182" t="s">
        <v>1</v>
      </c>
      <c r="J141" s="95">
        <f>IF(OR(H141="",$D$10="",$N$10=""),"",IF($D$10="COBRE",VLOOKUP(CDV_PROY_BT!H141,FDV!$B$16:$E$24,IF(CDV_PROY_BT!$N$10="3F",3,4),FALSE),IF($D$10="ACS",VLOOKUP(CDV_PROY_BT!H141,FDV!$B$10:$E$15,IF(CDV_PROY_BT!$N$10="3F",3,4),FALSE),IF($D$10="5005 (PREENSAMBLADO)",VLOOKUP(CDV_PROY_BT!H141,FDV!$B$4:$E$9,IF(CDV_PROY_BT!$N$10="3F",3,4),FALSE),VLOOKUP(CDV_PROY_BT!H141,FDV!$B$25:$E$30,IF(CDV_PROY_BT!$N$10="3F",3,4),FALSE)))))</f>
        <v>495</v>
      </c>
      <c r="K141" s="60">
        <f aca="true" t="shared" si="18" ref="K141:K168">IF(C141="","",ROUND(F141*C141,0))</f>
        <v>1022</v>
      </c>
      <c r="L141" s="61">
        <f>IF($N$19="","",IF(C141="","",ROUND(K141/J141,2)))</f>
        <v>2.06</v>
      </c>
      <c r="M141" s="61">
        <f>IF(C141="","",VLOOKUP(A141,$B$141:$N$168,12,FALSE)+L141+N136)</f>
        <v>2.06</v>
      </c>
      <c r="N141" s="154">
        <f>+M141</f>
        <v>2.06</v>
      </c>
      <c r="U141" s="138">
        <f>+IF(C141="",0,C141)</f>
        <v>29</v>
      </c>
      <c r="V141" s="138">
        <f>IF(OR(C141="",G141=""),0,C141*G141)</f>
        <v>29</v>
      </c>
    </row>
    <row r="142" spans="1:22" ht="15" hidden="1">
      <c r="A142" s="167" t="s">
        <v>146</v>
      </c>
      <c r="B142" s="168" t="s">
        <v>201</v>
      </c>
      <c r="C142" s="169">
        <v>29</v>
      </c>
      <c r="D142" s="169">
        <v>8</v>
      </c>
      <c r="E142" s="170">
        <v>110</v>
      </c>
      <c r="F142" s="62">
        <f>IF($N$126="","",IF($N$126="INDUSTRIAL",IF(OR($D$124="",$D$130=""),"",IF(OR(D142&gt;$D$131,E142&gt;$D$132),"Rev. Total. abona.",IF(D142="",IF(E142="","",E142/(0.92*1000)),IF(OR($D$124="SAN CRISTOBAL",$D$124="FLOREANA"),VLOOKUP(D142,'Estratos SCY - FLO'!$A$4:$M$108,IF($D$130="A1",2,IF($D$130="A",5,IF($D$130="B",8,11))))+E142/(0.92*1000),VLOOKUP(D142,'Estratos SCX - ISA'!$A$3:$M$107,IF($D$130="A1",2,IF($D$130="A",5,IF($D$130="B",8,11))))+E142/(0.92*1000))))),IF(OR($D$124="",$D$130=""),"",IF(OR(D142&gt;$D$131,E142&gt;$D$132),"Rev. Total. abona.",IF(D142="",IF(E142="","",E142/(0.92*1000)),IF(OR($D$124="SAN CRISTOBAL",$D$124="FLOREANA"),VLOOKUP(D142,'Estratos SCY - FLO'!$O$4:$S$108,IF($D$130="A1",2,IF($D$130="A",3,IF($D$130="B",4,5))))+E142/(0.92*1000),VLOOKUP(D142,'Estratos SCX - ISA'!$O$4:$S$108,IF($D$130="A1",2,IF($D$130="A",3,IF($D$130="B",4,5))))+E142/(0.92*1000)))))))</f>
        <v>53.99216291349743</v>
      </c>
      <c r="G142" s="59">
        <f aca="true" t="shared" si="19" ref="G142:G168">IF(OR($N$10="",C142=""),"",IF($N$10="1F",1,3))</f>
        <v>1</v>
      </c>
      <c r="H142" s="183" t="s">
        <v>1</v>
      </c>
      <c r="I142" s="183" t="s">
        <v>1</v>
      </c>
      <c r="J142" s="59">
        <f>IF(OR(H142="",$D$10="",$N$10=""),"",IF($D$10="COBRE",VLOOKUP(CDV_PROY_BT!H142,FDV!$B$16:$E$24,IF(CDV_PROY_BT!$N$10="3F",3,4),FALSE),IF($D$10="ACS",VLOOKUP(CDV_PROY_BT!H142,FDV!$B$10:$E$15,IF(CDV_PROY_BT!$N$10="3F",3,4),FALSE),IF($D$10="5005 (PREENSAMBLADO)",VLOOKUP(CDV_PROY_BT!H142,FDV!$B$4:$E$9,IF(CDV_PROY_BT!$N$10="3F",3,4),FALSE),VLOOKUP(CDV_PROY_BT!H142,FDV!$B$25:$E$30,IF(CDV_PROY_BT!$N$10="3F",3,4),FALSE)))))</f>
        <v>495</v>
      </c>
      <c r="K142" s="63">
        <f t="shared" si="18"/>
        <v>1566</v>
      </c>
      <c r="L142" s="62">
        <f aca="true" t="shared" si="20" ref="L142:L167">IF($N$19="","",IF(C142="","",ROUND(K142/J142,2)))</f>
        <v>3.16</v>
      </c>
      <c r="M142" s="62">
        <f aca="true" t="shared" si="21" ref="M142:M167">IF(C142="","",VLOOKUP(A142,$B$141:$N$168,12,FALSE)+L142)</f>
        <v>3.16</v>
      </c>
      <c r="N142" s="155">
        <f>+M142</f>
        <v>3.16</v>
      </c>
      <c r="U142" s="138">
        <f aca="true" t="shared" si="22" ref="U142:U167">+IF(C142="",0,C142)</f>
        <v>29</v>
      </c>
      <c r="V142" s="138">
        <f aca="true" t="shared" si="23" ref="V142:V167">IF(OR(C142="",G142=""),0,C142*G142)</f>
        <v>29</v>
      </c>
    </row>
    <row r="143" spans="1:22" ht="15" hidden="1">
      <c r="A143" s="167"/>
      <c r="B143" s="168"/>
      <c r="C143" s="169"/>
      <c r="D143" s="169"/>
      <c r="E143" s="170"/>
      <c r="F143" s="58" t="str">
        <f>IF($N$126="","",IF($N$126="INDUSTRIAL",IF(OR($D$124="",$D$130=""),"",IF(OR(D143&gt;$D$131,E143&gt;$D$132),"Rev. Total. abona.",IF(D143="",IF(E143="","",E143/(0.92*1000)),IF(OR($D$124="SAN CRISTOBAL",$D$124="FLOREANA"),VLOOKUP(D143,'Estratos SCY - FLO'!$A$4:$M$108,IF($D$130="A1",2,IF($D$130="A",5,IF($D$130="B",8,11))))+E143/(0.92*1000),VLOOKUP(D143,'Estratos SCX - ISA'!$A$3:$M$107,IF($D$130="A1",2,IF($D$130="A",5,IF($D$130="B",8,11))))+E143/(0.92*1000))))),IF(OR($D$124="",$D$130=""),"",IF(OR(D143&gt;$D$131,E143&gt;$D$132),"Rev. Total. abona.",IF(D143="",IF(E143="","",E143/(0.92*1000)),IF(OR($D$124="SAN CRISTOBAL",$D$124="FLOREANA"),VLOOKUP(D143,'Estratos SCY - FLO'!$O$4:$S$108,IF($D$130="A1",2,IF($D$130="A",3,IF($D$130="B",4,5))))+E143/(0.92*1000),VLOOKUP(D143,'Estratos SCX - ISA'!$O$4:$S$108,IF($D$130="A1",2,IF($D$130="A",3,IF($D$130="B",4,5))))+E143/(0.92*1000)))))))</f>
        <v/>
      </c>
      <c r="G143" s="59" t="str">
        <f t="shared" si="19"/>
        <v/>
      </c>
      <c r="H143" s="183"/>
      <c r="I143" s="183"/>
      <c r="J143" s="59" t="str">
        <f>IF(OR(H143="",$D$10="",$N$10=""),"",IF($D$10="COBRE",VLOOKUP(CDV_PROY_BT!H143,FDV!$B$16:$E$24,IF(CDV_PROY_BT!$N$10="3F",3,4),FALSE),IF($D$10="ACS",VLOOKUP(CDV_PROY_BT!H143,FDV!$B$10:$E$15,IF(CDV_PROY_BT!$N$10="3F",3,4),FALSE),IF($D$10="5005 (PREENSAMBLADO)",VLOOKUP(CDV_PROY_BT!H143,FDV!$B$4:$E$9,IF(CDV_PROY_BT!$N$10="3F",3,4),FALSE),VLOOKUP(CDV_PROY_BT!H143,FDV!$B$25:$E$30,IF(CDV_PROY_BT!$N$10="3F",3,4),FALSE)))))</f>
        <v/>
      </c>
      <c r="K143" s="63" t="str">
        <f t="shared" si="18"/>
        <v/>
      </c>
      <c r="L143" s="62" t="str">
        <f t="shared" si="20"/>
        <v/>
      </c>
      <c r="M143" s="62" t="str">
        <f t="shared" si="21"/>
        <v/>
      </c>
      <c r="N143" s="155"/>
      <c r="U143" s="138">
        <f t="shared" si="22"/>
        <v>0</v>
      </c>
      <c r="V143" s="138">
        <f t="shared" si="23"/>
        <v>0</v>
      </c>
    </row>
    <row r="144" spans="1:22" ht="15" hidden="1">
      <c r="A144" s="167"/>
      <c r="B144" s="168"/>
      <c r="C144" s="169"/>
      <c r="D144" s="169"/>
      <c r="E144" s="170"/>
      <c r="F144" s="58" t="str">
        <f>IF($N$126="","",IF($N$126="INDUSTRIAL",IF(OR($D$124="",$D$130=""),"",IF(OR(D144&gt;$D$131,E144&gt;$D$132),"Rev. Total. abona.",IF(D144="",IF(E144="","",E144/(0.92*1000)),IF(OR($D$124="SAN CRISTOBAL",$D$124="FLOREANA"),VLOOKUP(D144,'Estratos SCY - FLO'!$A$4:$M$108,IF($D$130="A1",2,IF($D$130="A",5,IF($D$130="B",8,11))))+E144/(0.92*1000),VLOOKUP(D144,'Estratos SCX - ISA'!$A$3:$M$107,IF($D$130="A1",2,IF($D$130="A",5,IF($D$130="B",8,11))))+E144/(0.92*1000))))),IF(OR($D$124="",$D$130=""),"",IF(OR(D144&gt;$D$131,E144&gt;$D$132),"Rev. Total. abona.",IF(D144="",IF(E144="","",E144/(0.92*1000)),IF(OR($D$124="SAN CRISTOBAL",$D$124="FLOREANA"),VLOOKUP(D144,'Estratos SCY - FLO'!$O$4:$S$108,IF($D$130="A1",2,IF($D$130="A",3,IF($D$130="B",4,5))))+E144/(0.92*1000),VLOOKUP(D144,'Estratos SCX - ISA'!$O$4:$S$108,IF($D$130="A1",2,IF($D$130="A",3,IF($D$130="B",4,5))))+E144/(0.92*1000)))))))</f>
        <v/>
      </c>
      <c r="G144" s="59" t="str">
        <f t="shared" si="19"/>
        <v/>
      </c>
      <c r="H144" s="183"/>
      <c r="I144" s="183"/>
      <c r="J144" s="59" t="str">
        <f>IF(OR(H144="",$D$10="",$N$10=""),"",IF($D$10="COBRE",VLOOKUP(CDV_PROY_BT!H144,FDV!$B$16:$E$24,IF(CDV_PROY_BT!$N$10="3F",3,4),FALSE),IF($D$10="ACS",VLOOKUP(CDV_PROY_BT!H144,FDV!$B$10:$E$15,IF(CDV_PROY_BT!$N$10="3F",3,4),FALSE),IF($D$10="5005 (PREENSAMBLADO)",VLOOKUP(CDV_PROY_BT!H144,FDV!$B$4:$E$9,IF(CDV_PROY_BT!$N$10="3F",3,4),FALSE),VLOOKUP(CDV_PROY_BT!H144,FDV!$B$25:$E$30,IF(CDV_PROY_BT!$N$10="3F",3,4),FALSE)))))</f>
        <v/>
      </c>
      <c r="K144" s="63" t="str">
        <f t="shared" si="18"/>
        <v/>
      </c>
      <c r="L144" s="62" t="str">
        <f t="shared" si="20"/>
        <v/>
      </c>
      <c r="M144" s="62" t="str">
        <f t="shared" si="21"/>
        <v/>
      </c>
      <c r="N144" s="155"/>
      <c r="U144" s="138">
        <f t="shared" si="22"/>
        <v>0</v>
      </c>
      <c r="V144" s="138">
        <f t="shared" si="23"/>
        <v>0</v>
      </c>
    </row>
    <row r="145" spans="1:22" ht="15" hidden="1">
      <c r="A145" s="167"/>
      <c r="B145" s="168"/>
      <c r="C145" s="169"/>
      <c r="D145" s="169"/>
      <c r="E145" s="170"/>
      <c r="F145" s="58" t="str">
        <f>IF($N$126="","",IF($N$126="INDUSTRIAL",IF(OR($D$124="",$D$130=""),"",IF(OR(D145&gt;$D$131,E145&gt;$D$132),"Rev. Total. abona.",IF(D145="",IF(E145="","",E145/(0.92*1000)),IF(OR($D$124="SAN CRISTOBAL",$D$124="FLOREANA"),VLOOKUP(D145,'Estratos SCY - FLO'!$A$4:$M$108,IF($D$130="A1",2,IF($D$130="A",5,IF($D$130="B",8,11))))+E145/(0.92*1000),VLOOKUP(D145,'Estratos SCX - ISA'!$A$3:$M$107,IF($D$130="A1",2,IF($D$130="A",5,IF($D$130="B",8,11))))+E145/(0.92*1000))))),IF(OR($D$124="",$D$130=""),"",IF(OR(D145&gt;$D$131,E145&gt;$D$132),"Rev. Total. abona.",IF(D145="",IF(E145="","",E145/(0.92*1000)),IF(OR($D$124="SAN CRISTOBAL",$D$124="FLOREANA"),VLOOKUP(D145,'Estratos SCY - FLO'!$O$4:$S$108,IF($D$130="A1",2,IF($D$130="A",3,IF($D$130="B",4,5))))+E145/(0.92*1000),VLOOKUP(D145,'Estratos SCX - ISA'!$O$4:$S$108,IF($D$130="A1",2,IF($D$130="A",3,IF($D$130="B",4,5))))+E145/(0.92*1000)))))))</f>
        <v/>
      </c>
      <c r="G145" s="59" t="str">
        <f t="shared" si="19"/>
        <v/>
      </c>
      <c r="H145" s="183"/>
      <c r="I145" s="183"/>
      <c r="J145" s="59" t="str">
        <f>IF(OR(H145="",$D$10="",$N$10=""),"",IF($D$10="COBRE",VLOOKUP(CDV_PROY_BT!H145,FDV!$B$16:$E$24,IF(CDV_PROY_BT!$N$10="3F",3,4),FALSE),IF($D$10="ACS",VLOOKUP(CDV_PROY_BT!H145,FDV!$B$10:$E$15,IF(CDV_PROY_BT!$N$10="3F",3,4),FALSE),IF($D$10="5005 (PREENSAMBLADO)",VLOOKUP(CDV_PROY_BT!H145,FDV!$B$4:$E$9,IF(CDV_PROY_BT!$N$10="3F",3,4),FALSE),VLOOKUP(CDV_PROY_BT!H145,FDV!$B$25:$E$30,IF(CDV_PROY_BT!$N$10="3F",3,4),FALSE)))))</f>
        <v/>
      </c>
      <c r="K145" s="63" t="str">
        <f t="shared" si="18"/>
        <v/>
      </c>
      <c r="L145" s="62" t="str">
        <f t="shared" si="20"/>
        <v/>
      </c>
      <c r="M145" s="62" t="str">
        <f t="shared" si="21"/>
        <v/>
      </c>
      <c r="N145" s="155"/>
      <c r="U145" s="138">
        <f t="shared" si="22"/>
        <v>0</v>
      </c>
      <c r="V145" s="138">
        <f t="shared" si="23"/>
        <v>0</v>
      </c>
    </row>
    <row r="146" spans="1:22" ht="15" hidden="1">
      <c r="A146" s="167"/>
      <c r="B146" s="168"/>
      <c r="C146" s="169"/>
      <c r="D146" s="169"/>
      <c r="E146" s="170"/>
      <c r="F146" s="58" t="str">
        <f>IF($N$126="","",IF($N$126="INDUSTRIAL",IF(OR($D$124="",$D$130=""),"",IF(OR(D146&gt;$D$131,E146&gt;$D$132),"Rev. Total. abona.",IF(D146="",IF(E146="","",E146/(0.92*1000)),IF(OR($D$124="SAN CRISTOBAL",$D$124="FLOREANA"),VLOOKUP(D146,'Estratos SCY - FLO'!$A$4:$M$108,IF($D$130="A1",2,IF($D$130="A",5,IF($D$130="B",8,11))))+E146/(0.92*1000),VLOOKUP(D146,'Estratos SCX - ISA'!$A$3:$M$107,IF($D$130="A1",2,IF($D$130="A",5,IF($D$130="B",8,11))))+E146/(0.92*1000))))),IF(OR($D$124="",$D$130=""),"",IF(OR(D146&gt;$D$131,E146&gt;$D$132),"Rev. Total. abona.",IF(D146="",IF(E146="","",E146/(0.92*1000)),IF(OR($D$124="SAN CRISTOBAL",$D$124="FLOREANA"),VLOOKUP(D146,'Estratos SCY - FLO'!$O$4:$S$108,IF($D$130="A1",2,IF($D$130="A",3,IF($D$130="B",4,5))))+E146/(0.92*1000),VLOOKUP(D146,'Estratos SCX - ISA'!$O$4:$S$108,IF($D$130="A1",2,IF($D$130="A",3,IF($D$130="B",4,5))))+E146/(0.92*1000)))))))</f>
        <v/>
      </c>
      <c r="G146" s="59" t="str">
        <f t="shared" si="19"/>
        <v/>
      </c>
      <c r="H146" s="183"/>
      <c r="I146" s="183"/>
      <c r="J146" s="59" t="str">
        <f>IF(OR(H146="",$D$10="",$N$10=""),"",IF($D$10="COBRE",VLOOKUP(CDV_PROY_BT!H146,FDV!$B$16:$E$24,IF(CDV_PROY_BT!$N$10="3F",3,4),FALSE),IF($D$10="ACS",VLOOKUP(CDV_PROY_BT!H146,FDV!$B$10:$E$15,IF(CDV_PROY_BT!$N$10="3F",3,4),FALSE),IF($D$10="5005 (PREENSAMBLADO)",VLOOKUP(CDV_PROY_BT!H146,FDV!$B$4:$E$9,IF(CDV_PROY_BT!$N$10="3F",3,4),FALSE),VLOOKUP(CDV_PROY_BT!H146,FDV!$B$25:$E$30,IF(CDV_PROY_BT!$N$10="3F",3,4),FALSE)))))</f>
        <v/>
      </c>
      <c r="K146" s="63" t="str">
        <f t="shared" si="18"/>
        <v/>
      </c>
      <c r="L146" s="62" t="str">
        <f t="shared" si="20"/>
        <v/>
      </c>
      <c r="M146" s="62" t="str">
        <f t="shared" si="21"/>
        <v/>
      </c>
      <c r="N146" s="155"/>
      <c r="U146" s="138">
        <f t="shared" si="22"/>
        <v>0</v>
      </c>
      <c r="V146" s="138">
        <f t="shared" si="23"/>
        <v>0</v>
      </c>
    </row>
    <row r="147" spans="1:22" ht="15" hidden="1">
      <c r="A147" s="167"/>
      <c r="B147" s="168"/>
      <c r="C147" s="169"/>
      <c r="D147" s="169"/>
      <c r="E147" s="170"/>
      <c r="F147" s="58" t="str">
        <f>IF($N$126="","",IF($N$126="INDUSTRIAL",IF(OR($D$124="",$D$130=""),"",IF(OR(D147&gt;$D$131,E147&gt;$D$132),"Rev. Total. abona.",IF(D147="",IF(E147="","",E147/(0.92*1000)),IF(OR($D$124="SAN CRISTOBAL",$D$124="FLOREANA"),VLOOKUP(D147,'Estratos SCY - FLO'!$A$4:$M$108,IF($D$130="A1",2,IF($D$130="A",5,IF($D$130="B",8,11))))+E147/(0.92*1000),VLOOKUP(D147,'Estratos SCX - ISA'!$A$3:$M$107,IF($D$130="A1",2,IF($D$130="A",5,IF($D$130="B",8,11))))+E147/(0.92*1000))))),IF(OR($D$124="",$D$130=""),"",IF(OR(D147&gt;$D$131,E147&gt;$D$132),"Rev. Total. abona.",IF(D147="",IF(E147="","",E147/(0.92*1000)),IF(OR($D$124="SAN CRISTOBAL",$D$124="FLOREANA"),VLOOKUP(D147,'Estratos SCY - FLO'!$O$4:$S$108,IF($D$130="A1",2,IF($D$130="A",3,IF($D$130="B",4,5))))+E147/(0.92*1000),VLOOKUP(D147,'Estratos SCX - ISA'!$O$4:$S$108,IF($D$130="A1",2,IF($D$130="A",3,IF($D$130="B",4,5))))+E147/(0.92*1000)))))))</f>
        <v/>
      </c>
      <c r="G147" s="59" t="str">
        <f t="shared" si="19"/>
        <v/>
      </c>
      <c r="H147" s="183"/>
      <c r="I147" s="183"/>
      <c r="J147" s="59" t="str">
        <f>IF(OR(H147="",$D$10="",$N$10=""),"",IF($D$10="COBRE",VLOOKUP(CDV_PROY_BT!H147,FDV!$B$16:$E$24,IF(CDV_PROY_BT!$N$10="3F",3,4),FALSE),IF($D$10="ACS",VLOOKUP(CDV_PROY_BT!H147,FDV!$B$10:$E$15,IF(CDV_PROY_BT!$N$10="3F",3,4),FALSE),IF($D$10="5005 (PREENSAMBLADO)",VLOOKUP(CDV_PROY_BT!H147,FDV!$B$4:$E$9,IF(CDV_PROY_BT!$N$10="3F",3,4),FALSE),VLOOKUP(CDV_PROY_BT!H147,FDV!$B$25:$E$30,IF(CDV_PROY_BT!$N$10="3F",3,4),FALSE)))))</f>
        <v/>
      </c>
      <c r="K147" s="63" t="str">
        <f t="shared" si="18"/>
        <v/>
      </c>
      <c r="L147" s="62" t="str">
        <f t="shared" si="20"/>
        <v/>
      </c>
      <c r="M147" s="62" t="str">
        <f t="shared" si="21"/>
        <v/>
      </c>
      <c r="N147" s="155"/>
      <c r="U147" s="138">
        <f t="shared" si="22"/>
        <v>0</v>
      </c>
      <c r="V147" s="138">
        <f t="shared" si="23"/>
        <v>0</v>
      </c>
    </row>
    <row r="148" spans="1:22" ht="15" hidden="1">
      <c r="A148" s="167"/>
      <c r="B148" s="168"/>
      <c r="C148" s="169"/>
      <c r="D148" s="169"/>
      <c r="E148" s="170"/>
      <c r="F148" s="58" t="str">
        <f>IF($N$126="","",IF($N$126="INDUSTRIAL",IF(OR($D$124="",$D$130=""),"",IF(OR(D148&gt;$D$131,E148&gt;$D$132),"Rev. Total. abona.",IF(D148="",IF(E148="","",E148/(0.92*1000)),IF(OR($D$124="SAN CRISTOBAL",$D$124="FLOREANA"),VLOOKUP(D148,'Estratos SCY - FLO'!$A$4:$M$108,IF($D$130="A1",2,IF($D$130="A",5,IF($D$130="B",8,11))))+E148/(0.92*1000),VLOOKUP(D148,'Estratos SCX - ISA'!$A$3:$M$107,IF($D$130="A1",2,IF($D$130="A",5,IF($D$130="B",8,11))))+E148/(0.92*1000))))),IF(OR($D$124="",$D$130=""),"",IF(OR(D148&gt;$D$131,E148&gt;$D$132),"Rev. Total. abona.",IF(D148="",IF(E148="","",E148/(0.92*1000)),IF(OR($D$124="SAN CRISTOBAL",$D$124="FLOREANA"),VLOOKUP(D148,'Estratos SCY - FLO'!$O$4:$S$108,IF($D$130="A1",2,IF($D$130="A",3,IF($D$130="B",4,5))))+E148/(0.92*1000),VLOOKUP(D148,'Estratos SCX - ISA'!$O$4:$S$108,IF($D$130="A1",2,IF($D$130="A",3,IF($D$130="B",4,5))))+E148/(0.92*1000)))))))</f>
        <v/>
      </c>
      <c r="G148" s="59" t="str">
        <f t="shared" si="19"/>
        <v/>
      </c>
      <c r="H148" s="183"/>
      <c r="I148" s="183"/>
      <c r="J148" s="59" t="str">
        <f>IF(OR(H148="",$D$10="",$N$10=""),"",IF($D$10="COBRE",VLOOKUP(CDV_PROY_BT!H148,FDV!$B$16:$E$24,IF(CDV_PROY_BT!$N$10="3F",3,4),FALSE),IF($D$10="ACS",VLOOKUP(CDV_PROY_BT!H148,FDV!$B$10:$E$15,IF(CDV_PROY_BT!$N$10="3F",3,4),FALSE),IF($D$10="5005 (PREENSAMBLADO)",VLOOKUP(CDV_PROY_BT!H148,FDV!$B$4:$E$9,IF(CDV_PROY_BT!$N$10="3F",3,4),FALSE),VLOOKUP(CDV_PROY_BT!H148,FDV!$B$25:$E$30,IF(CDV_PROY_BT!$N$10="3F",3,4),FALSE)))))</f>
        <v/>
      </c>
      <c r="K148" s="63" t="str">
        <f t="shared" si="18"/>
        <v/>
      </c>
      <c r="L148" s="62" t="str">
        <f t="shared" si="20"/>
        <v/>
      </c>
      <c r="M148" s="62" t="str">
        <f t="shared" si="21"/>
        <v/>
      </c>
      <c r="N148" s="155"/>
      <c r="U148" s="138">
        <f t="shared" si="22"/>
        <v>0</v>
      </c>
      <c r="V148" s="138">
        <f t="shared" si="23"/>
        <v>0</v>
      </c>
    </row>
    <row r="149" spans="1:22" ht="15" hidden="1">
      <c r="A149" s="171"/>
      <c r="B149" s="172"/>
      <c r="C149" s="173"/>
      <c r="D149" s="173"/>
      <c r="E149" s="170"/>
      <c r="F149" s="58" t="str">
        <f>IF($N$126="","",IF($N$126="INDUSTRIAL",IF(OR($D$124="",$D$130=""),"",IF(OR(D149&gt;$D$131,E149&gt;$D$132),"Rev. Total. abona.",IF(D149="",IF(E149="","",E149/(0.92*1000)),IF(OR($D$124="SAN CRISTOBAL",$D$124="FLOREANA"),VLOOKUP(D149,'Estratos SCY - FLO'!$A$4:$M$108,IF($D$130="A1",2,IF($D$130="A",5,IF($D$130="B",8,11))))+E149/(0.92*1000),VLOOKUP(D149,'Estratos SCX - ISA'!$A$3:$M$107,IF($D$130="A1",2,IF($D$130="A",5,IF($D$130="B",8,11))))+E149/(0.92*1000))))),IF(OR($D$124="",$D$130=""),"",IF(OR(D149&gt;$D$131,E149&gt;$D$132),"Rev. Total. abona.",IF(D149="",IF(E149="","",E149/(0.92*1000)),IF(OR($D$124="SAN CRISTOBAL",$D$124="FLOREANA"),VLOOKUP(D149,'Estratos SCY - FLO'!$O$4:$S$108,IF($D$130="A1",2,IF($D$130="A",3,IF($D$130="B",4,5))))+E149/(0.92*1000),VLOOKUP(D149,'Estratos SCX - ISA'!$O$4:$S$108,IF($D$130="A1",2,IF($D$130="A",3,IF($D$130="B",4,5))))+E149/(0.92*1000)))))))</f>
        <v/>
      </c>
      <c r="G149" s="59" t="str">
        <f t="shared" si="19"/>
        <v/>
      </c>
      <c r="H149" s="183"/>
      <c r="I149" s="183"/>
      <c r="J149" s="59" t="str">
        <f>IF(OR(H149="",$D$10="",$N$10=""),"",IF($D$10="COBRE",VLOOKUP(CDV_PROY_BT!H149,FDV!$B$16:$E$24,IF(CDV_PROY_BT!$N$10="3F",3,4),FALSE),IF($D$10="ACS",VLOOKUP(CDV_PROY_BT!H149,FDV!$B$10:$E$15,IF(CDV_PROY_BT!$N$10="3F",3,4),FALSE),IF($D$10="5005 (PREENSAMBLADO)",VLOOKUP(CDV_PROY_BT!H149,FDV!$B$4:$E$9,IF(CDV_PROY_BT!$N$10="3F",3,4),FALSE),VLOOKUP(CDV_PROY_BT!H149,FDV!$B$25:$E$30,IF(CDV_PROY_BT!$N$10="3F",3,4),FALSE)))))</f>
        <v/>
      </c>
      <c r="K149" s="63" t="str">
        <f t="shared" si="18"/>
        <v/>
      </c>
      <c r="L149" s="62" t="str">
        <f t="shared" si="20"/>
        <v/>
      </c>
      <c r="M149" s="62" t="str">
        <f t="shared" si="21"/>
        <v/>
      </c>
      <c r="N149" s="155"/>
      <c r="U149" s="138">
        <f t="shared" si="22"/>
        <v>0</v>
      </c>
      <c r="V149" s="138">
        <f t="shared" si="23"/>
        <v>0</v>
      </c>
    </row>
    <row r="150" spans="1:22" ht="15" hidden="1">
      <c r="A150" s="167"/>
      <c r="B150" s="168"/>
      <c r="C150" s="169"/>
      <c r="D150" s="169"/>
      <c r="E150" s="174"/>
      <c r="F150" s="58" t="str">
        <f>IF($N$126="","",IF($N$126="INDUSTRIAL",IF(OR($D$124="",$D$130=""),"",IF(OR(D150&gt;$D$131,E150&gt;$D$132),"Rev. Total. abona.",IF(D150="",IF(E150="","",E150/(0.92*1000)),IF(OR($D$124="SAN CRISTOBAL",$D$124="FLOREANA"),VLOOKUP(D150,'Estratos SCY - FLO'!$A$4:$M$108,IF($D$130="A1",2,IF($D$130="A",5,IF($D$130="B",8,11))))+E150/(0.92*1000),VLOOKUP(D150,'Estratos SCX - ISA'!$A$3:$M$107,IF($D$130="A1",2,IF($D$130="A",5,IF($D$130="B",8,11))))+E150/(0.92*1000))))),IF(OR($D$124="",$D$130=""),"",IF(OR(D150&gt;$D$131,E150&gt;$D$132),"Rev. Total. abona.",IF(D150="",IF(E150="","",E150/(0.92*1000)),IF(OR($D$124="SAN CRISTOBAL",$D$124="FLOREANA"),VLOOKUP(D150,'Estratos SCY - FLO'!$O$4:$S$108,IF($D$130="A1",2,IF($D$130="A",3,IF($D$130="B",4,5))))+E150/(0.92*1000),VLOOKUP(D150,'Estratos SCX - ISA'!$O$4:$S$108,IF($D$130="A1",2,IF($D$130="A",3,IF($D$130="B",4,5))))+E150/(0.92*1000)))))))</f>
        <v/>
      </c>
      <c r="G150" s="59" t="str">
        <f t="shared" si="19"/>
        <v/>
      </c>
      <c r="H150" s="183"/>
      <c r="I150" s="183"/>
      <c r="J150" s="59" t="str">
        <f>IF(OR(H150="",$D$10="",$N$10=""),"",IF($D$10="COBRE",VLOOKUP(CDV_PROY_BT!H150,FDV!$B$16:$E$24,IF(CDV_PROY_BT!$N$10="3F",3,4),FALSE),IF($D$10="ACS",VLOOKUP(CDV_PROY_BT!H150,FDV!$B$10:$E$15,IF(CDV_PROY_BT!$N$10="3F",3,4),FALSE),IF($D$10="5005 (PREENSAMBLADO)",VLOOKUP(CDV_PROY_BT!H150,FDV!$B$4:$E$9,IF(CDV_PROY_BT!$N$10="3F",3,4),FALSE),VLOOKUP(CDV_PROY_BT!H150,FDV!$B$25:$E$30,IF(CDV_PROY_BT!$N$10="3F",3,4),FALSE)))))</f>
        <v/>
      </c>
      <c r="K150" s="63" t="str">
        <f t="shared" si="18"/>
        <v/>
      </c>
      <c r="L150" s="62" t="str">
        <f t="shared" si="20"/>
        <v/>
      </c>
      <c r="M150" s="62" t="str">
        <f t="shared" si="21"/>
        <v/>
      </c>
      <c r="N150" s="155"/>
      <c r="U150" s="138">
        <f t="shared" si="22"/>
        <v>0</v>
      </c>
      <c r="V150" s="138">
        <f t="shared" si="23"/>
        <v>0</v>
      </c>
    </row>
    <row r="151" spans="1:22" ht="15" hidden="1">
      <c r="A151" s="175"/>
      <c r="B151" s="176"/>
      <c r="C151" s="177"/>
      <c r="D151" s="177"/>
      <c r="E151" s="170"/>
      <c r="F151" s="58" t="str">
        <f>IF($N$126="","",IF($N$126="INDUSTRIAL",IF(OR($D$124="",$D$130=""),"",IF(OR(D151&gt;$D$131,E151&gt;$D$132),"Rev. Total. abona.",IF(D151="",IF(E151="","",E151/(0.92*1000)),IF(OR($D$124="SAN CRISTOBAL",$D$124="FLOREANA"),VLOOKUP(D151,'Estratos SCY - FLO'!$A$4:$M$108,IF($D$130="A1",2,IF($D$130="A",5,IF($D$130="B",8,11))))+E151/(0.92*1000),VLOOKUP(D151,'Estratos SCX - ISA'!$A$3:$M$107,IF($D$130="A1",2,IF($D$130="A",5,IF($D$130="B",8,11))))+E151/(0.92*1000))))),IF(OR($D$124="",$D$130=""),"",IF(OR(D151&gt;$D$131,E151&gt;$D$132),"Rev. Total. abona.",IF(D151="",IF(E151="","",E151/(0.92*1000)),IF(OR($D$124="SAN CRISTOBAL",$D$124="FLOREANA"),VLOOKUP(D151,'Estratos SCY - FLO'!$O$4:$S$108,IF($D$130="A1",2,IF($D$130="A",3,IF($D$130="B",4,5))))+E151/(0.92*1000),VLOOKUP(D151,'Estratos SCX - ISA'!$O$4:$S$108,IF($D$130="A1",2,IF($D$130="A",3,IF($D$130="B",4,5))))+E151/(0.92*1000)))))))</f>
        <v/>
      </c>
      <c r="G151" s="59" t="str">
        <f t="shared" si="19"/>
        <v/>
      </c>
      <c r="H151" s="183"/>
      <c r="I151" s="183"/>
      <c r="J151" s="59" t="str">
        <f>IF(OR(H151="",$D$10="",$N$10=""),"",IF($D$10="COBRE",VLOOKUP(CDV_PROY_BT!H151,FDV!$B$16:$E$24,IF(CDV_PROY_BT!$N$10="3F",3,4),FALSE),IF($D$10="ACS",VLOOKUP(CDV_PROY_BT!H151,FDV!$B$10:$E$15,IF(CDV_PROY_BT!$N$10="3F",3,4),FALSE),IF($D$10="5005 (PREENSAMBLADO)",VLOOKUP(CDV_PROY_BT!H151,FDV!$B$4:$E$9,IF(CDV_PROY_BT!$N$10="3F",3,4),FALSE),VLOOKUP(CDV_PROY_BT!H151,FDV!$B$25:$E$30,IF(CDV_PROY_BT!$N$10="3F",3,4),FALSE)))))</f>
        <v/>
      </c>
      <c r="K151" s="63" t="str">
        <f t="shared" si="18"/>
        <v/>
      </c>
      <c r="L151" s="62" t="str">
        <f t="shared" si="20"/>
        <v/>
      </c>
      <c r="M151" s="62" t="str">
        <f t="shared" si="21"/>
        <v/>
      </c>
      <c r="N151" s="155"/>
      <c r="U151" s="138">
        <f t="shared" si="22"/>
        <v>0</v>
      </c>
      <c r="V151" s="138">
        <f t="shared" si="23"/>
        <v>0</v>
      </c>
    </row>
    <row r="152" spans="1:22" ht="15" hidden="1">
      <c r="A152" s="167"/>
      <c r="B152" s="168"/>
      <c r="C152" s="169"/>
      <c r="D152" s="169"/>
      <c r="E152" s="170"/>
      <c r="F152" s="58" t="str">
        <f>IF($N$126="","",IF($N$126="INDUSTRIAL",IF(OR($D$124="",$D$130=""),"",IF(OR(D152&gt;$D$131,E152&gt;$D$132),"Rev. Total. abona.",IF(D152="",IF(E152="","",E152/(0.92*1000)),IF(OR($D$124="SAN CRISTOBAL",$D$124="FLOREANA"),VLOOKUP(D152,'Estratos SCY - FLO'!$A$4:$M$108,IF($D$130="A1",2,IF($D$130="A",5,IF($D$130="B",8,11))))+E152/(0.92*1000),VLOOKUP(D152,'Estratos SCX - ISA'!$A$3:$M$107,IF($D$130="A1",2,IF($D$130="A",5,IF($D$130="B",8,11))))+E152/(0.92*1000))))),IF(OR($D$124="",$D$130=""),"",IF(OR(D152&gt;$D$131,E152&gt;$D$132),"Rev. Total. abona.",IF(D152="",IF(E152="","",E152/(0.92*1000)),IF(OR($D$124="SAN CRISTOBAL",$D$124="FLOREANA"),VLOOKUP(D152,'Estratos SCY - FLO'!$O$4:$S$108,IF($D$130="A1",2,IF($D$130="A",3,IF($D$130="B",4,5))))+E152/(0.92*1000),VLOOKUP(D152,'Estratos SCX - ISA'!$O$4:$S$108,IF($D$130="A1",2,IF($D$130="A",3,IF($D$130="B",4,5))))+E152/(0.92*1000)))))))</f>
        <v/>
      </c>
      <c r="G152" s="59" t="str">
        <f t="shared" si="19"/>
        <v/>
      </c>
      <c r="H152" s="183"/>
      <c r="I152" s="183"/>
      <c r="J152" s="59" t="str">
        <f>IF(OR(H152="",$D$10="",$N$10=""),"",IF($D$10="COBRE",VLOOKUP(CDV_PROY_BT!H152,FDV!$B$16:$E$24,IF(CDV_PROY_BT!$N$10="3F",3,4),FALSE),IF($D$10="ACS",VLOOKUP(CDV_PROY_BT!H152,FDV!$B$10:$E$15,IF(CDV_PROY_BT!$N$10="3F",3,4),FALSE),IF($D$10="5005 (PREENSAMBLADO)",VLOOKUP(CDV_PROY_BT!H152,FDV!$B$4:$E$9,IF(CDV_PROY_BT!$N$10="3F",3,4),FALSE),VLOOKUP(CDV_PROY_BT!H152,FDV!$B$25:$E$30,IF(CDV_PROY_BT!$N$10="3F",3,4),FALSE)))))</f>
        <v/>
      </c>
      <c r="K152" s="63" t="str">
        <f t="shared" si="18"/>
        <v/>
      </c>
      <c r="L152" s="62" t="str">
        <f t="shared" si="20"/>
        <v/>
      </c>
      <c r="M152" s="62" t="str">
        <f t="shared" si="21"/>
        <v/>
      </c>
      <c r="N152" s="155"/>
      <c r="U152" s="138">
        <f t="shared" si="22"/>
        <v>0</v>
      </c>
      <c r="V152" s="138">
        <f t="shared" si="23"/>
        <v>0</v>
      </c>
    </row>
    <row r="153" spans="1:22" ht="15" hidden="1">
      <c r="A153" s="167"/>
      <c r="B153" s="168"/>
      <c r="C153" s="169"/>
      <c r="D153" s="169"/>
      <c r="E153" s="170"/>
      <c r="F153" s="58" t="str">
        <f>IF($N$126="","",IF($N$126="INDUSTRIAL",IF(OR($D$124="",$D$130=""),"",IF(OR(D153&gt;$D$131,E153&gt;$D$132),"Rev. Total. abona.",IF(D153="",IF(E153="","",E153/(0.92*1000)),IF(OR($D$124="SAN CRISTOBAL",$D$124="FLOREANA"),VLOOKUP(D153,'Estratos SCY - FLO'!$A$4:$M$108,IF($D$130="A1",2,IF($D$130="A",5,IF($D$130="B",8,11))))+E153/(0.92*1000),VLOOKUP(D153,'Estratos SCX - ISA'!$A$3:$M$107,IF($D$130="A1",2,IF($D$130="A",5,IF($D$130="B",8,11))))+E153/(0.92*1000))))),IF(OR($D$124="",$D$130=""),"",IF(OR(D153&gt;$D$131,E153&gt;$D$132),"Rev. Total. abona.",IF(D153="",IF(E153="","",E153/(0.92*1000)),IF(OR($D$124="SAN CRISTOBAL",$D$124="FLOREANA"),VLOOKUP(D153,'Estratos SCY - FLO'!$O$4:$S$108,IF($D$130="A1",2,IF($D$130="A",3,IF($D$130="B",4,5))))+E153/(0.92*1000),VLOOKUP(D153,'Estratos SCX - ISA'!$O$4:$S$108,IF($D$130="A1",2,IF($D$130="A",3,IF($D$130="B",4,5))))+E153/(0.92*1000)))))))</f>
        <v/>
      </c>
      <c r="G153" s="59" t="str">
        <f t="shared" si="19"/>
        <v/>
      </c>
      <c r="H153" s="183"/>
      <c r="I153" s="183"/>
      <c r="J153" s="59" t="str">
        <f>IF(OR(H153="",$D$10="",$N$10=""),"",IF($D$10="COBRE",VLOOKUP(CDV_PROY_BT!H153,FDV!$B$16:$E$24,IF(CDV_PROY_BT!$N$10="3F",3,4),FALSE),IF($D$10="ACS",VLOOKUP(CDV_PROY_BT!H153,FDV!$B$10:$E$15,IF(CDV_PROY_BT!$N$10="3F",3,4),FALSE),IF($D$10="5005 (PREENSAMBLADO)",VLOOKUP(CDV_PROY_BT!H153,FDV!$B$4:$E$9,IF(CDV_PROY_BT!$N$10="3F",3,4),FALSE),VLOOKUP(CDV_PROY_BT!H153,FDV!$B$25:$E$30,IF(CDV_PROY_BT!$N$10="3F",3,4),FALSE)))))</f>
        <v/>
      </c>
      <c r="K153" s="63" t="str">
        <f t="shared" si="18"/>
        <v/>
      </c>
      <c r="L153" s="62" t="str">
        <f t="shared" si="20"/>
        <v/>
      </c>
      <c r="M153" s="62" t="str">
        <f t="shared" si="21"/>
        <v/>
      </c>
      <c r="N153" s="155"/>
      <c r="U153" s="138">
        <f t="shared" si="22"/>
        <v>0</v>
      </c>
      <c r="V153" s="138">
        <f t="shared" si="23"/>
        <v>0</v>
      </c>
    </row>
    <row r="154" spans="1:22" ht="15" hidden="1">
      <c r="A154" s="167"/>
      <c r="B154" s="168"/>
      <c r="C154" s="169"/>
      <c r="D154" s="169"/>
      <c r="E154" s="170"/>
      <c r="F154" s="58" t="str">
        <f>IF($N$126="","",IF($N$126="INDUSTRIAL",IF(OR($D$124="",$D$130=""),"",IF(OR(D154&gt;$D$131,E154&gt;$D$132),"Rev. Total. abona.",IF(D154="",IF(E154="","",E154/(0.92*1000)),IF(OR($D$124="SAN CRISTOBAL",$D$124="FLOREANA"),VLOOKUP(D154,'Estratos SCY - FLO'!$A$4:$M$108,IF($D$130="A1",2,IF($D$130="A",5,IF($D$130="B",8,11))))+E154/(0.92*1000),VLOOKUP(D154,'Estratos SCX - ISA'!$A$3:$M$107,IF($D$130="A1",2,IF($D$130="A",5,IF($D$130="B",8,11))))+E154/(0.92*1000))))),IF(OR($D$124="",$D$130=""),"",IF(OR(D154&gt;$D$131,E154&gt;$D$132),"Rev. Total. abona.",IF(D154="",IF(E154="","",E154/(0.92*1000)),IF(OR($D$124="SAN CRISTOBAL",$D$124="FLOREANA"),VLOOKUP(D154,'Estratos SCY - FLO'!$O$4:$S$108,IF($D$130="A1",2,IF($D$130="A",3,IF($D$130="B",4,5))))+E154/(0.92*1000),VLOOKUP(D154,'Estratos SCX - ISA'!$O$4:$S$108,IF($D$130="A1",2,IF($D$130="A",3,IF($D$130="B",4,5))))+E154/(0.92*1000)))))))</f>
        <v/>
      </c>
      <c r="G154" s="59" t="str">
        <f t="shared" si="19"/>
        <v/>
      </c>
      <c r="H154" s="183"/>
      <c r="I154" s="183"/>
      <c r="J154" s="59" t="str">
        <f>IF(OR(H154="",$D$10="",$N$10=""),"",IF($D$10="COBRE",VLOOKUP(CDV_PROY_BT!H154,FDV!$B$16:$E$24,IF(CDV_PROY_BT!$N$10="3F",3,4),FALSE),IF($D$10="ACS",VLOOKUP(CDV_PROY_BT!H154,FDV!$B$10:$E$15,IF(CDV_PROY_BT!$N$10="3F",3,4),FALSE),IF($D$10="5005 (PREENSAMBLADO)",VLOOKUP(CDV_PROY_BT!H154,FDV!$B$4:$E$9,IF(CDV_PROY_BT!$N$10="3F",3,4),FALSE),VLOOKUP(CDV_PROY_BT!H154,FDV!$B$25:$E$30,IF(CDV_PROY_BT!$N$10="3F",3,4),FALSE)))))</f>
        <v/>
      </c>
      <c r="K154" s="63" t="str">
        <f t="shared" si="18"/>
        <v/>
      </c>
      <c r="L154" s="62" t="str">
        <f t="shared" si="20"/>
        <v/>
      </c>
      <c r="M154" s="62" t="str">
        <f t="shared" si="21"/>
        <v/>
      </c>
      <c r="N154" s="155"/>
      <c r="U154" s="138">
        <f t="shared" si="22"/>
        <v>0</v>
      </c>
      <c r="V154" s="138">
        <f t="shared" si="23"/>
        <v>0</v>
      </c>
    </row>
    <row r="155" spans="1:22" ht="15" hidden="1">
      <c r="A155" s="167"/>
      <c r="B155" s="168"/>
      <c r="C155" s="169"/>
      <c r="D155" s="169"/>
      <c r="E155" s="170"/>
      <c r="F155" s="58" t="str">
        <f>IF($N$126="","",IF($N$126="INDUSTRIAL",IF(OR($D$124="",$D$130=""),"",IF(OR(D155&gt;$D$131,E155&gt;$D$132),"Rev. Total. abona.",IF(D155="",IF(E155="","",E155/(0.92*1000)),IF(OR($D$124="SAN CRISTOBAL",$D$124="FLOREANA"),VLOOKUP(D155,'Estratos SCY - FLO'!$A$4:$M$108,IF($D$130="A1",2,IF($D$130="A",5,IF($D$130="B",8,11))))+E155/(0.92*1000),VLOOKUP(D155,'Estratos SCX - ISA'!$A$3:$M$107,IF($D$130="A1",2,IF($D$130="A",5,IF($D$130="B",8,11))))+E155/(0.92*1000))))),IF(OR($D$124="",$D$130=""),"",IF(OR(D155&gt;$D$131,E155&gt;$D$132),"Rev. Total. abona.",IF(D155="",IF(E155="","",E155/(0.92*1000)),IF(OR($D$124="SAN CRISTOBAL",$D$124="FLOREANA"),VLOOKUP(D155,'Estratos SCY - FLO'!$O$4:$S$108,IF($D$130="A1",2,IF($D$130="A",3,IF($D$130="B",4,5))))+E155/(0.92*1000),VLOOKUP(D155,'Estratos SCX - ISA'!$O$4:$S$108,IF($D$130="A1",2,IF($D$130="A",3,IF($D$130="B",4,5))))+E155/(0.92*1000)))))))</f>
        <v/>
      </c>
      <c r="G155" s="59" t="str">
        <f t="shared" si="19"/>
        <v/>
      </c>
      <c r="H155" s="183"/>
      <c r="I155" s="183"/>
      <c r="J155" s="59" t="str">
        <f>IF(OR(H155="",$D$10="",$N$10=""),"",IF($D$10="COBRE",VLOOKUP(CDV_PROY_BT!H155,FDV!$B$16:$E$24,IF(CDV_PROY_BT!$N$10="3F",3,4),FALSE),IF($D$10="ACS",VLOOKUP(CDV_PROY_BT!H155,FDV!$B$10:$E$15,IF(CDV_PROY_BT!$N$10="3F",3,4),FALSE),IF($D$10="5005 (PREENSAMBLADO)",VLOOKUP(CDV_PROY_BT!H155,FDV!$B$4:$E$9,IF(CDV_PROY_BT!$N$10="3F",3,4),FALSE),VLOOKUP(CDV_PROY_BT!H155,FDV!$B$25:$E$30,IF(CDV_PROY_BT!$N$10="3F",3,4),FALSE)))))</f>
        <v/>
      </c>
      <c r="K155" s="63" t="str">
        <f t="shared" si="18"/>
        <v/>
      </c>
      <c r="L155" s="62" t="str">
        <f t="shared" si="20"/>
        <v/>
      </c>
      <c r="M155" s="62" t="str">
        <f t="shared" si="21"/>
        <v/>
      </c>
      <c r="N155" s="155"/>
      <c r="U155" s="138">
        <f t="shared" si="22"/>
        <v>0</v>
      </c>
      <c r="V155" s="138">
        <f t="shared" si="23"/>
        <v>0</v>
      </c>
    </row>
    <row r="156" spans="1:22" ht="15" hidden="1">
      <c r="A156" s="167"/>
      <c r="B156" s="168"/>
      <c r="C156" s="169"/>
      <c r="D156" s="169"/>
      <c r="E156" s="170"/>
      <c r="F156" s="58" t="str">
        <f>IF($N$126="","",IF($N$126="INDUSTRIAL",IF(OR($D$124="",$D$130=""),"",IF(OR(D156&gt;$D$131,E156&gt;$D$132),"Rev. Total. abona.",IF(D156="",IF(E156="","",E156/(0.92*1000)),IF(OR($D$124="SAN CRISTOBAL",$D$124="FLOREANA"),VLOOKUP(D156,'Estratos SCY - FLO'!$A$4:$M$108,IF($D$130="A1",2,IF($D$130="A",5,IF($D$130="B",8,11))))+E156/(0.92*1000),VLOOKUP(D156,'Estratos SCX - ISA'!$A$3:$M$107,IF($D$130="A1",2,IF($D$130="A",5,IF($D$130="B",8,11))))+E156/(0.92*1000))))),IF(OR($D$124="",$D$130=""),"",IF(OR(D156&gt;$D$131,E156&gt;$D$132),"Rev. Total. abona.",IF(D156="",IF(E156="","",E156/(0.92*1000)),IF(OR($D$124="SAN CRISTOBAL",$D$124="FLOREANA"),VLOOKUP(D156,'Estratos SCY - FLO'!$O$4:$S$108,IF($D$130="A1",2,IF($D$130="A",3,IF($D$130="B",4,5))))+E156/(0.92*1000),VLOOKUP(D156,'Estratos SCX - ISA'!$O$4:$S$108,IF($D$130="A1",2,IF($D$130="A",3,IF($D$130="B",4,5))))+E156/(0.92*1000)))))))</f>
        <v/>
      </c>
      <c r="G156" s="59" t="str">
        <f t="shared" si="19"/>
        <v/>
      </c>
      <c r="H156" s="183"/>
      <c r="I156" s="183"/>
      <c r="J156" s="59" t="str">
        <f>IF(OR(H156="",$D$10="",$N$10=""),"",IF($D$10="COBRE",VLOOKUP(CDV_PROY_BT!H156,FDV!$B$16:$E$24,IF(CDV_PROY_BT!$N$10="3F",3,4),FALSE),IF($D$10="ACS",VLOOKUP(CDV_PROY_BT!H156,FDV!$B$10:$E$15,IF(CDV_PROY_BT!$N$10="3F",3,4),FALSE),IF($D$10="5005 (PREENSAMBLADO)",VLOOKUP(CDV_PROY_BT!H156,FDV!$B$4:$E$9,IF(CDV_PROY_BT!$N$10="3F",3,4),FALSE),VLOOKUP(CDV_PROY_BT!H156,FDV!$B$25:$E$30,IF(CDV_PROY_BT!$N$10="3F",3,4),FALSE)))))</f>
        <v/>
      </c>
      <c r="K156" s="63" t="str">
        <f t="shared" si="18"/>
        <v/>
      </c>
      <c r="L156" s="62" t="str">
        <f t="shared" si="20"/>
        <v/>
      </c>
      <c r="M156" s="62" t="str">
        <f t="shared" si="21"/>
        <v/>
      </c>
      <c r="N156" s="155"/>
      <c r="U156" s="138">
        <f t="shared" si="22"/>
        <v>0</v>
      </c>
      <c r="V156" s="138">
        <f t="shared" si="23"/>
        <v>0</v>
      </c>
    </row>
    <row r="157" spans="1:22" ht="15" hidden="1">
      <c r="A157" s="167"/>
      <c r="B157" s="168"/>
      <c r="C157" s="169"/>
      <c r="D157" s="169"/>
      <c r="E157" s="170"/>
      <c r="F157" s="58" t="str">
        <f>IF($N$126="","",IF($N$126="INDUSTRIAL",IF(OR($D$124="",$D$130=""),"",IF(OR(D157&gt;$D$131,E157&gt;$D$132),"Rev. Total. abona.",IF(D157="",IF(E157="","",E157/(0.92*1000)),IF(OR($D$124="SAN CRISTOBAL",$D$124="FLOREANA"),VLOOKUP(D157,'Estratos SCY - FLO'!$A$4:$M$108,IF($D$130="A1",2,IF($D$130="A",5,IF($D$130="B",8,11))))+E157/(0.92*1000),VLOOKUP(D157,'Estratos SCX - ISA'!$A$3:$M$107,IF($D$130="A1",2,IF($D$130="A",5,IF($D$130="B",8,11))))+E157/(0.92*1000))))),IF(OR($D$124="",$D$130=""),"",IF(OR(D157&gt;$D$131,E157&gt;$D$132),"Rev. Total. abona.",IF(D157="",IF(E157="","",E157/(0.92*1000)),IF(OR($D$124="SAN CRISTOBAL",$D$124="FLOREANA"),VLOOKUP(D157,'Estratos SCY - FLO'!$O$4:$S$108,IF($D$130="A1",2,IF($D$130="A",3,IF($D$130="B",4,5))))+E157/(0.92*1000),VLOOKUP(D157,'Estratos SCX - ISA'!$O$4:$S$108,IF($D$130="A1",2,IF($D$130="A",3,IF($D$130="B",4,5))))+E157/(0.92*1000)))))))</f>
        <v/>
      </c>
      <c r="G157" s="59" t="str">
        <f t="shared" si="19"/>
        <v/>
      </c>
      <c r="H157" s="183"/>
      <c r="I157" s="183"/>
      <c r="J157" s="59" t="str">
        <f>IF(OR(H157="",$D$10="",$N$10=""),"",IF($D$10="COBRE",VLOOKUP(CDV_PROY_BT!H157,FDV!$B$16:$E$24,IF(CDV_PROY_BT!$N$10="3F",3,4),FALSE),IF($D$10="ACS",VLOOKUP(CDV_PROY_BT!H157,FDV!$B$10:$E$15,IF(CDV_PROY_BT!$N$10="3F",3,4),FALSE),IF($D$10="5005 (PREENSAMBLADO)",VLOOKUP(CDV_PROY_BT!H157,FDV!$B$4:$E$9,IF(CDV_PROY_BT!$N$10="3F",3,4),FALSE),VLOOKUP(CDV_PROY_BT!H157,FDV!$B$25:$E$30,IF(CDV_PROY_BT!$N$10="3F",3,4),FALSE)))))</f>
        <v/>
      </c>
      <c r="K157" s="63" t="str">
        <f t="shared" si="18"/>
        <v/>
      </c>
      <c r="L157" s="62" t="str">
        <f t="shared" si="20"/>
        <v/>
      </c>
      <c r="M157" s="62" t="str">
        <f t="shared" si="21"/>
        <v/>
      </c>
      <c r="N157" s="155"/>
      <c r="U157" s="138">
        <f t="shared" si="22"/>
        <v>0</v>
      </c>
      <c r="V157" s="138">
        <f t="shared" si="23"/>
        <v>0</v>
      </c>
    </row>
    <row r="158" spans="1:22" ht="15" hidden="1">
      <c r="A158" s="167"/>
      <c r="B158" s="168"/>
      <c r="C158" s="169"/>
      <c r="D158" s="169"/>
      <c r="E158" s="170"/>
      <c r="F158" s="58" t="str">
        <f>IF($N$126="","",IF($N$126="INDUSTRIAL",IF(OR($D$124="",$D$130=""),"",IF(OR(D158&gt;$D$131,E158&gt;$D$132),"Rev. Total. abona.",IF(D158="",IF(E158="","",E158/(0.92*1000)),IF(OR($D$124="SAN CRISTOBAL",$D$124="FLOREANA"),VLOOKUP(D158,'Estratos SCY - FLO'!$A$4:$M$108,IF($D$130="A1",2,IF($D$130="A",5,IF($D$130="B",8,11))))+E158/(0.92*1000),VLOOKUP(D158,'Estratos SCX - ISA'!$A$3:$M$107,IF($D$130="A1",2,IF($D$130="A",5,IF($D$130="B",8,11))))+E158/(0.92*1000))))),IF(OR($D$124="",$D$130=""),"",IF(OR(D158&gt;$D$131,E158&gt;$D$132),"Rev. Total. abona.",IF(D158="",IF(E158="","",E158/(0.92*1000)),IF(OR($D$124="SAN CRISTOBAL",$D$124="FLOREANA"),VLOOKUP(D158,'Estratos SCY - FLO'!$O$4:$S$108,IF($D$130="A1",2,IF($D$130="A",3,IF($D$130="B",4,5))))+E158/(0.92*1000),VLOOKUP(D158,'Estratos SCX - ISA'!$O$4:$S$108,IF($D$130="A1",2,IF($D$130="A",3,IF($D$130="B",4,5))))+E158/(0.92*1000)))))))</f>
        <v/>
      </c>
      <c r="G158" s="59" t="str">
        <f t="shared" si="19"/>
        <v/>
      </c>
      <c r="H158" s="183"/>
      <c r="I158" s="183"/>
      <c r="J158" s="59" t="str">
        <f>IF(OR(H158="",$D$10="",$N$10=""),"",IF($D$10="COBRE",VLOOKUP(CDV_PROY_BT!H158,FDV!$B$16:$E$24,IF(CDV_PROY_BT!$N$10="3F",3,4),FALSE),IF($D$10="ACS",VLOOKUP(CDV_PROY_BT!H158,FDV!$B$10:$E$15,IF(CDV_PROY_BT!$N$10="3F",3,4),FALSE),IF($D$10="5005 (PREENSAMBLADO)",VLOOKUP(CDV_PROY_BT!H158,FDV!$B$4:$E$9,IF(CDV_PROY_BT!$N$10="3F",3,4),FALSE),VLOOKUP(CDV_PROY_BT!H158,FDV!$B$25:$E$30,IF(CDV_PROY_BT!$N$10="3F",3,4),FALSE)))))</f>
        <v/>
      </c>
      <c r="K158" s="63" t="str">
        <f t="shared" si="18"/>
        <v/>
      </c>
      <c r="L158" s="62" t="str">
        <f t="shared" si="20"/>
        <v/>
      </c>
      <c r="M158" s="62" t="str">
        <f t="shared" si="21"/>
        <v/>
      </c>
      <c r="N158" s="155"/>
      <c r="U158" s="138">
        <f t="shared" si="22"/>
        <v>0</v>
      </c>
      <c r="V158" s="138">
        <f t="shared" si="23"/>
        <v>0</v>
      </c>
    </row>
    <row r="159" spans="1:22" ht="15" hidden="1">
      <c r="A159" s="167"/>
      <c r="B159" s="168"/>
      <c r="C159" s="169"/>
      <c r="D159" s="169"/>
      <c r="E159" s="170"/>
      <c r="F159" s="58" t="str">
        <f>IF($N$126="","",IF($N$126="INDUSTRIAL",IF(OR($D$124="",$D$130=""),"",IF(OR(D159&gt;$D$131,E159&gt;$D$132),"Rev. Total. abona.",IF(D159="",IF(E159="","",E159/(0.92*1000)),IF(OR($D$124="SAN CRISTOBAL",$D$124="FLOREANA"),VLOOKUP(D159,'Estratos SCY - FLO'!$A$4:$M$108,IF($D$130="A1",2,IF($D$130="A",5,IF($D$130="B",8,11))))+E159/(0.92*1000),VLOOKUP(D159,'Estratos SCX - ISA'!$A$3:$M$107,IF($D$130="A1",2,IF($D$130="A",5,IF($D$130="B",8,11))))+E159/(0.92*1000))))),IF(OR($D$124="",$D$130=""),"",IF(OR(D159&gt;$D$131,E159&gt;$D$132),"Rev. Total. abona.",IF(D159="",IF(E159="","",E159/(0.92*1000)),IF(OR($D$124="SAN CRISTOBAL",$D$124="FLOREANA"),VLOOKUP(D159,'Estratos SCY - FLO'!$O$4:$S$108,IF($D$130="A1",2,IF($D$130="A",3,IF($D$130="B",4,5))))+E159/(0.92*1000),VLOOKUP(D159,'Estratos SCX - ISA'!$O$4:$S$108,IF($D$130="A1",2,IF($D$130="A",3,IF($D$130="B",4,5))))+E159/(0.92*1000)))))))</f>
        <v/>
      </c>
      <c r="G159" s="59" t="str">
        <f t="shared" si="19"/>
        <v/>
      </c>
      <c r="H159" s="183"/>
      <c r="I159" s="183"/>
      <c r="J159" s="59" t="str">
        <f>IF(OR(H159="",$D$10="",$N$10=""),"",IF($D$10="COBRE",VLOOKUP(CDV_PROY_BT!H159,FDV!$B$16:$E$24,IF(CDV_PROY_BT!$N$10="3F",3,4),FALSE),IF($D$10="ACS",VLOOKUP(CDV_PROY_BT!H159,FDV!$B$10:$E$15,IF(CDV_PROY_BT!$N$10="3F",3,4),FALSE),IF($D$10="5005 (PREENSAMBLADO)",VLOOKUP(CDV_PROY_BT!H159,FDV!$B$4:$E$9,IF(CDV_PROY_BT!$N$10="3F",3,4),FALSE),VLOOKUP(CDV_PROY_BT!H159,FDV!$B$25:$E$30,IF(CDV_PROY_BT!$N$10="3F",3,4),FALSE)))))</f>
        <v/>
      </c>
      <c r="K159" s="63" t="str">
        <f t="shared" si="18"/>
        <v/>
      </c>
      <c r="L159" s="62" t="str">
        <f t="shared" si="20"/>
        <v/>
      </c>
      <c r="M159" s="62" t="str">
        <f t="shared" si="21"/>
        <v/>
      </c>
      <c r="N159" s="155"/>
      <c r="U159" s="138">
        <f t="shared" si="22"/>
        <v>0</v>
      </c>
      <c r="V159" s="138">
        <f t="shared" si="23"/>
        <v>0</v>
      </c>
    </row>
    <row r="160" spans="1:22" ht="15" hidden="1">
      <c r="A160" s="167"/>
      <c r="B160" s="168"/>
      <c r="C160" s="169"/>
      <c r="D160" s="169"/>
      <c r="E160" s="170"/>
      <c r="F160" s="58" t="str">
        <f>IF($N$126="","",IF($N$126="INDUSTRIAL",IF(OR($D$124="",$D$130=""),"",IF(OR(D160&gt;$D$131,E160&gt;$D$132),"Rev. Total. abona.",IF(D160="",IF(E160="","",E160/(0.92*1000)),IF(OR($D$124="SAN CRISTOBAL",$D$124="FLOREANA"),VLOOKUP(D160,'Estratos SCY - FLO'!$A$4:$M$108,IF($D$130="A1",2,IF($D$130="A",5,IF($D$130="B",8,11))))+E160/(0.92*1000),VLOOKUP(D160,'Estratos SCX - ISA'!$A$3:$M$107,IF($D$130="A1",2,IF($D$130="A",5,IF($D$130="B",8,11))))+E160/(0.92*1000))))),IF(OR($D$124="",$D$130=""),"",IF(OR(D160&gt;$D$131,E160&gt;$D$132),"Rev. Total. abona.",IF(D160="",IF(E160="","",E160/(0.92*1000)),IF(OR($D$124="SAN CRISTOBAL",$D$124="FLOREANA"),VLOOKUP(D160,'Estratos SCY - FLO'!$O$4:$S$108,IF($D$130="A1",2,IF($D$130="A",3,IF($D$130="B",4,5))))+E160/(0.92*1000),VLOOKUP(D160,'Estratos SCX - ISA'!$O$4:$S$108,IF($D$130="A1",2,IF($D$130="A",3,IF($D$130="B",4,5))))+E160/(0.92*1000)))))))</f>
        <v/>
      </c>
      <c r="G160" s="59" t="str">
        <f t="shared" si="19"/>
        <v/>
      </c>
      <c r="H160" s="183"/>
      <c r="I160" s="183"/>
      <c r="J160" s="59" t="str">
        <f>IF(OR(H160="",$D$10="",$N$10=""),"",IF($D$10="COBRE",VLOOKUP(CDV_PROY_BT!H160,FDV!$B$16:$E$24,IF(CDV_PROY_BT!$N$10="3F",3,4),FALSE),IF($D$10="ACS",VLOOKUP(CDV_PROY_BT!H160,FDV!$B$10:$E$15,IF(CDV_PROY_BT!$N$10="3F",3,4),FALSE),IF($D$10="5005 (PREENSAMBLADO)",VLOOKUP(CDV_PROY_BT!H160,FDV!$B$4:$E$9,IF(CDV_PROY_BT!$N$10="3F",3,4),FALSE),VLOOKUP(CDV_PROY_BT!H160,FDV!$B$25:$E$30,IF(CDV_PROY_BT!$N$10="3F",3,4),FALSE)))))</f>
        <v/>
      </c>
      <c r="K160" s="63" t="str">
        <f t="shared" si="18"/>
        <v/>
      </c>
      <c r="L160" s="62" t="str">
        <f t="shared" si="20"/>
        <v/>
      </c>
      <c r="M160" s="62" t="str">
        <f t="shared" si="21"/>
        <v/>
      </c>
      <c r="N160" s="155"/>
      <c r="U160" s="138">
        <f t="shared" si="22"/>
        <v>0</v>
      </c>
      <c r="V160" s="138">
        <f t="shared" si="23"/>
        <v>0</v>
      </c>
    </row>
    <row r="161" spans="1:22" ht="15" hidden="1">
      <c r="A161" s="167"/>
      <c r="B161" s="168"/>
      <c r="C161" s="169"/>
      <c r="D161" s="169"/>
      <c r="E161" s="170"/>
      <c r="F161" s="58" t="str">
        <f>IF($N$126="","",IF($N$126="INDUSTRIAL",IF(OR($D$124="",$D$130=""),"",IF(OR(D161&gt;$D$131,E161&gt;$D$132),"Rev. Total. abona.",IF(D161="",IF(E161="","",E161/(0.92*1000)),IF(OR($D$124="SAN CRISTOBAL",$D$124="FLOREANA"),VLOOKUP(D161,'Estratos SCY - FLO'!$A$4:$M$108,IF($D$130="A1",2,IF($D$130="A",5,IF($D$130="B",8,11))))+E161/(0.92*1000),VLOOKUP(D161,'Estratos SCX - ISA'!$A$3:$M$107,IF($D$130="A1",2,IF($D$130="A",5,IF($D$130="B",8,11))))+E161/(0.92*1000))))),IF(OR($D$124="",$D$130=""),"",IF(OR(D161&gt;$D$131,E161&gt;$D$132),"Rev. Total. abona.",IF(D161="",IF(E161="","",E161/(0.92*1000)),IF(OR($D$124="SAN CRISTOBAL",$D$124="FLOREANA"),VLOOKUP(D161,'Estratos SCY - FLO'!$O$4:$S$108,IF($D$130="A1",2,IF($D$130="A",3,IF($D$130="B",4,5))))+E161/(0.92*1000),VLOOKUP(D161,'Estratos SCX - ISA'!$O$4:$S$108,IF($D$130="A1",2,IF($D$130="A",3,IF($D$130="B",4,5))))+E161/(0.92*1000)))))))</f>
        <v/>
      </c>
      <c r="G161" s="59" t="str">
        <f t="shared" si="19"/>
        <v/>
      </c>
      <c r="H161" s="183"/>
      <c r="I161" s="183"/>
      <c r="J161" s="59" t="str">
        <f>IF(OR(H161="",$D$10="",$N$10=""),"",IF($D$10="COBRE",VLOOKUP(CDV_PROY_BT!H161,FDV!$B$16:$E$24,IF(CDV_PROY_BT!$N$10="3F",3,4),FALSE),IF($D$10="ACS",VLOOKUP(CDV_PROY_BT!H161,FDV!$B$10:$E$15,IF(CDV_PROY_BT!$N$10="3F",3,4),FALSE),IF($D$10="5005 (PREENSAMBLADO)",VLOOKUP(CDV_PROY_BT!H161,FDV!$B$4:$E$9,IF(CDV_PROY_BT!$N$10="3F",3,4),FALSE),VLOOKUP(CDV_PROY_BT!H161,FDV!$B$25:$E$30,IF(CDV_PROY_BT!$N$10="3F",3,4),FALSE)))))</f>
        <v/>
      </c>
      <c r="K161" s="63" t="str">
        <f t="shared" si="18"/>
        <v/>
      </c>
      <c r="L161" s="62" t="str">
        <f t="shared" si="20"/>
        <v/>
      </c>
      <c r="M161" s="62" t="str">
        <f t="shared" si="21"/>
        <v/>
      </c>
      <c r="N161" s="155"/>
      <c r="U161" s="138">
        <f t="shared" si="22"/>
        <v>0</v>
      </c>
      <c r="V161" s="138">
        <f t="shared" si="23"/>
        <v>0</v>
      </c>
    </row>
    <row r="162" spans="1:22" ht="15" hidden="1">
      <c r="A162" s="167"/>
      <c r="B162" s="168"/>
      <c r="C162" s="169"/>
      <c r="D162" s="169"/>
      <c r="E162" s="170"/>
      <c r="F162" s="58" t="str">
        <f>IF($N$126="","",IF($N$126="INDUSTRIAL",IF(OR($D$124="",$D$130=""),"",IF(OR(D162&gt;$D$131,E162&gt;$D$132),"Rev. Total. abona.",IF(D162="",IF(E162="","",E162/(0.92*1000)),IF(OR($D$124="SAN CRISTOBAL",$D$124="FLOREANA"),VLOOKUP(D162,'Estratos SCY - FLO'!$A$4:$M$108,IF($D$130="A1",2,IF($D$130="A",5,IF($D$130="B",8,11))))+E162/(0.92*1000),VLOOKUP(D162,'Estratos SCX - ISA'!$A$3:$M$107,IF($D$130="A1",2,IF($D$130="A",5,IF($D$130="B",8,11))))+E162/(0.92*1000))))),IF(OR($D$124="",$D$130=""),"",IF(OR(D162&gt;$D$131,E162&gt;$D$132),"Rev. Total. abona.",IF(D162="",IF(E162="","",E162/(0.92*1000)),IF(OR($D$124="SAN CRISTOBAL",$D$124="FLOREANA"),VLOOKUP(D162,'Estratos SCY - FLO'!$O$4:$S$108,IF($D$130="A1",2,IF($D$130="A",3,IF($D$130="B",4,5))))+E162/(0.92*1000),VLOOKUP(D162,'Estratos SCX - ISA'!$O$4:$S$108,IF($D$130="A1",2,IF($D$130="A",3,IF($D$130="B",4,5))))+E162/(0.92*1000)))))))</f>
        <v/>
      </c>
      <c r="G162" s="59" t="str">
        <f t="shared" si="19"/>
        <v/>
      </c>
      <c r="H162" s="183"/>
      <c r="I162" s="183"/>
      <c r="J162" s="59" t="str">
        <f>IF(OR(H162="",$D$10="",$N$10=""),"",IF($D$10="COBRE",VLOOKUP(CDV_PROY_BT!H162,FDV!$B$16:$E$24,IF(CDV_PROY_BT!$N$10="3F",3,4),FALSE),IF($D$10="ACS",VLOOKUP(CDV_PROY_BT!H162,FDV!$B$10:$E$15,IF(CDV_PROY_BT!$N$10="3F",3,4),FALSE),IF($D$10="5005 (PREENSAMBLADO)",VLOOKUP(CDV_PROY_BT!H162,FDV!$B$4:$E$9,IF(CDV_PROY_BT!$N$10="3F",3,4),FALSE),VLOOKUP(CDV_PROY_BT!H162,FDV!$B$25:$E$30,IF(CDV_PROY_BT!$N$10="3F",3,4),FALSE)))))</f>
        <v/>
      </c>
      <c r="K162" s="63" t="str">
        <f t="shared" si="18"/>
        <v/>
      </c>
      <c r="L162" s="62" t="str">
        <f t="shared" si="20"/>
        <v/>
      </c>
      <c r="M162" s="62" t="str">
        <f t="shared" si="21"/>
        <v/>
      </c>
      <c r="N162" s="155"/>
      <c r="U162" s="138">
        <f t="shared" si="22"/>
        <v>0</v>
      </c>
      <c r="V162" s="138">
        <f t="shared" si="23"/>
        <v>0</v>
      </c>
    </row>
    <row r="163" spans="1:22" ht="15" hidden="1">
      <c r="A163" s="167"/>
      <c r="B163" s="168"/>
      <c r="C163" s="169"/>
      <c r="D163" s="169"/>
      <c r="E163" s="170"/>
      <c r="F163" s="58" t="str">
        <f>IF($N$126="","",IF($N$126="INDUSTRIAL",IF(OR($D$124="",$D$130=""),"",IF(OR(D163&gt;$D$131,E163&gt;$D$132),"Rev. Total. abona.",IF(D163="",IF(E163="","",E163/(0.92*1000)),IF(OR($D$124="SAN CRISTOBAL",$D$124="FLOREANA"),VLOOKUP(D163,'Estratos SCY - FLO'!$A$4:$M$108,IF($D$130="A1",2,IF($D$130="A",5,IF($D$130="B",8,11))))+E163/(0.92*1000),VLOOKUP(D163,'Estratos SCX - ISA'!$A$3:$M$107,IF($D$130="A1",2,IF($D$130="A",5,IF($D$130="B",8,11))))+E163/(0.92*1000))))),IF(OR($D$124="",$D$130=""),"",IF(OR(D163&gt;$D$131,E163&gt;$D$132),"Rev. Total. abona.",IF(D163="",IF(E163="","",E163/(0.92*1000)),IF(OR($D$124="SAN CRISTOBAL",$D$124="FLOREANA"),VLOOKUP(D163,'Estratos SCY - FLO'!$O$4:$S$108,IF($D$130="A1",2,IF($D$130="A",3,IF($D$130="B",4,5))))+E163/(0.92*1000),VLOOKUP(D163,'Estratos SCX - ISA'!$O$4:$S$108,IF($D$130="A1",2,IF($D$130="A",3,IF($D$130="B",4,5))))+E163/(0.92*1000)))))))</f>
        <v/>
      </c>
      <c r="G163" s="59" t="str">
        <f t="shared" si="19"/>
        <v/>
      </c>
      <c r="H163" s="183"/>
      <c r="I163" s="183"/>
      <c r="J163" s="59" t="str">
        <f>IF(OR(H163="",$D$10="",$N$10=""),"",IF($D$10="COBRE",VLOOKUP(CDV_PROY_BT!H163,FDV!$B$16:$E$24,IF(CDV_PROY_BT!$N$10="3F",3,4),FALSE),IF($D$10="ACS",VLOOKUP(CDV_PROY_BT!H163,FDV!$B$10:$E$15,IF(CDV_PROY_BT!$N$10="3F",3,4),FALSE),IF($D$10="5005 (PREENSAMBLADO)",VLOOKUP(CDV_PROY_BT!H163,FDV!$B$4:$E$9,IF(CDV_PROY_BT!$N$10="3F",3,4),FALSE),VLOOKUP(CDV_PROY_BT!H163,FDV!$B$25:$E$30,IF(CDV_PROY_BT!$N$10="3F",3,4),FALSE)))))</f>
        <v/>
      </c>
      <c r="K163" s="63" t="str">
        <f t="shared" si="18"/>
        <v/>
      </c>
      <c r="L163" s="62" t="str">
        <f t="shared" si="20"/>
        <v/>
      </c>
      <c r="M163" s="62" t="str">
        <f t="shared" si="21"/>
        <v/>
      </c>
      <c r="N163" s="155"/>
      <c r="U163" s="138">
        <f t="shared" si="22"/>
        <v>0</v>
      </c>
      <c r="V163" s="138">
        <f t="shared" si="23"/>
        <v>0</v>
      </c>
    </row>
    <row r="164" spans="1:22" ht="15" hidden="1">
      <c r="A164" s="167"/>
      <c r="B164" s="168"/>
      <c r="C164" s="169"/>
      <c r="D164" s="169"/>
      <c r="E164" s="170"/>
      <c r="F164" s="58" t="str">
        <f>IF($N$126="","",IF($N$126="INDUSTRIAL",IF(OR($D$124="",$D$130=""),"",IF(OR(D164&gt;$D$131,E164&gt;$D$132),"Rev. Total. abona.",IF(D164="",IF(E164="","",E164/(0.92*1000)),IF(OR($D$124="SAN CRISTOBAL",$D$124="FLOREANA"),VLOOKUP(D164,'Estratos SCY - FLO'!$A$4:$M$108,IF($D$130="A1",2,IF($D$130="A",5,IF($D$130="B",8,11))))+E164/(0.92*1000),VLOOKUP(D164,'Estratos SCX - ISA'!$A$3:$M$107,IF($D$130="A1",2,IF($D$130="A",5,IF($D$130="B",8,11))))+E164/(0.92*1000))))),IF(OR($D$124="",$D$130=""),"",IF(OR(D164&gt;$D$131,E164&gt;$D$132),"Rev. Total. abona.",IF(D164="",IF(E164="","",E164/(0.92*1000)),IF(OR($D$124="SAN CRISTOBAL",$D$124="FLOREANA"),VLOOKUP(D164,'Estratos SCY - FLO'!$O$4:$S$108,IF($D$130="A1",2,IF($D$130="A",3,IF($D$130="B",4,5))))+E164/(0.92*1000),VLOOKUP(D164,'Estratos SCX - ISA'!$O$4:$S$108,IF($D$130="A1",2,IF($D$130="A",3,IF($D$130="B",4,5))))+E164/(0.92*1000)))))))</f>
        <v/>
      </c>
      <c r="G164" s="59" t="str">
        <f t="shared" si="19"/>
        <v/>
      </c>
      <c r="H164" s="183"/>
      <c r="I164" s="183"/>
      <c r="J164" s="59" t="str">
        <f>IF(OR(H164="",$D$10="",$N$10=""),"",IF($D$10="COBRE",VLOOKUP(CDV_PROY_BT!H164,FDV!$B$16:$E$24,IF(CDV_PROY_BT!$N$10="3F",3,4),FALSE),IF($D$10="ACS",VLOOKUP(CDV_PROY_BT!H164,FDV!$B$10:$E$15,IF(CDV_PROY_BT!$N$10="3F",3,4),FALSE),IF($D$10="5005 (PREENSAMBLADO)",VLOOKUP(CDV_PROY_BT!H164,FDV!$B$4:$E$9,IF(CDV_PROY_BT!$N$10="3F",3,4),FALSE),VLOOKUP(CDV_PROY_BT!H164,FDV!$B$25:$E$30,IF(CDV_PROY_BT!$N$10="3F",3,4),FALSE)))))</f>
        <v/>
      </c>
      <c r="K164" s="63" t="str">
        <f t="shared" si="18"/>
        <v/>
      </c>
      <c r="L164" s="62" t="str">
        <f t="shared" si="20"/>
        <v/>
      </c>
      <c r="M164" s="62" t="str">
        <f t="shared" si="21"/>
        <v/>
      </c>
      <c r="N164" s="155"/>
      <c r="U164" s="138">
        <f t="shared" si="22"/>
        <v>0</v>
      </c>
      <c r="V164" s="138">
        <f t="shared" si="23"/>
        <v>0</v>
      </c>
    </row>
    <row r="165" spans="1:22" ht="15" hidden="1">
      <c r="A165" s="167"/>
      <c r="B165" s="168"/>
      <c r="C165" s="169"/>
      <c r="D165" s="169"/>
      <c r="E165" s="170"/>
      <c r="F165" s="58" t="str">
        <f>IF($N$126="","",IF($N$126="INDUSTRIAL",IF(OR($D$124="",$D$130=""),"",IF(OR(D165&gt;$D$131,E165&gt;$D$132),"Rev. Total. abona.",IF(D165="",IF(E165="","",E165/(0.92*1000)),IF(OR($D$124="SAN CRISTOBAL",$D$124="FLOREANA"),VLOOKUP(D165,'Estratos SCY - FLO'!$A$4:$M$108,IF($D$130="A1",2,IF($D$130="A",5,IF($D$130="B",8,11))))+E165/(0.92*1000),VLOOKUP(D165,'Estratos SCX - ISA'!$A$3:$M$107,IF($D$130="A1",2,IF($D$130="A",5,IF($D$130="B",8,11))))+E165/(0.92*1000))))),IF(OR($D$124="",$D$130=""),"",IF(OR(D165&gt;$D$131,E165&gt;$D$132),"Rev. Total. abona.",IF(D165="",IF(E165="","",E165/(0.92*1000)),IF(OR($D$124="SAN CRISTOBAL",$D$124="FLOREANA"),VLOOKUP(D165,'Estratos SCY - FLO'!$O$4:$S$108,IF($D$130="A1",2,IF($D$130="A",3,IF($D$130="B",4,5))))+E165/(0.92*1000),VLOOKUP(D165,'Estratos SCX - ISA'!$O$4:$S$108,IF($D$130="A1",2,IF($D$130="A",3,IF($D$130="B",4,5))))+E165/(0.92*1000)))))))</f>
        <v/>
      </c>
      <c r="G165" s="59" t="str">
        <f t="shared" si="19"/>
        <v/>
      </c>
      <c r="H165" s="183"/>
      <c r="I165" s="183"/>
      <c r="J165" s="59" t="str">
        <f>IF(OR(H165="",$D$10="",$N$10=""),"",IF($D$10="COBRE",VLOOKUP(CDV_PROY_BT!H165,FDV!$B$16:$E$24,IF(CDV_PROY_BT!$N$10="3F",3,4),FALSE),IF($D$10="ACS",VLOOKUP(CDV_PROY_BT!H165,FDV!$B$10:$E$15,IF(CDV_PROY_BT!$N$10="3F",3,4),FALSE),IF($D$10="5005 (PREENSAMBLADO)",VLOOKUP(CDV_PROY_BT!H165,FDV!$B$4:$E$9,IF(CDV_PROY_BT!$N$10="3F",3,4),FALSE),VLOOKUP(CDV_PROY_BT!H165,FDV!$B$25:$E$30,IF(CDV_PROY_BT!$N$10="3F",3,4),FALSE)))))</f>
        <v/>
      </c>
      <c r="K165" s="63" t="str">
        <f t="shared" si="18"/>
        <v/>
      </c>
      <c r="L165" s="62" t="str">
        <f t="shared" si="20"/>
        <v/>
      </c>
      <c r="M165" s="62" t="str">
        <f t="shared" si="21"/>
        <v/>
      </c>
      <c r="N165" s="155"/>
      <c r="U165" s="138">
        <f t="shared" si="22"/>
        <v>0</v>
      </c>
      <c r="V165" s="138">
        <f t="shared" si="23"/>
        <v>0</v>
      </c>
    </row>
    <row r="166" spans="1:22" ht="15" hidden="1">
      <c r="A166" s="167"/>
      <c r="B166" s="168"/>
      <c r="C166" s="169"/>
      <c r="D166" s="169"/>
      <c r="E166" s="170"/>
      <c r="F166" s="58" t="str">
        <f>IF($N$126="","",IF($N$126="INDUSTRIAL",IF(OR($D$124="",$D$130=""),"",IF(OR(D166&gt;$D$131,E166&gt;$D$132),"Rev. Total. abona.",IF(D166="",IF(E166="","",E166/(0.92*1000)),IF(OR($D$124="SAN CRISTOBAL",$D$124="FLOREANA"),VLOOKUP(D166,'Estratos SCY - FLO'!$A$4:$M$108,IF($D$130="A1",2,IF($D$130="A",5,IF($D$130="B",8,11))))+E166/(0.92*1000),VLOOKUP(D166,'Estratos SCX - ISA'!$A$3:$M$107,IF($D$130="A1",2,IF($D$130="A",5,IF($D$130="B",8,11))))+E166/(0.92*1000))))),IF(OR($D$124="",$D$130=""),"",IF(OR(D166&gt;$D$131,E166&gt;$D$132),"Rev. Total. abona.",IF(D166="",IF(E166="","",E166/(0.92*1000)),IF(OR($D$124="SAN CRISTOBAL",$D$124="FLOREANA"),VLOOKUP(D166,'Estratos SCY - FLO'!$O$4:$S$108,IF($D$130="A1",2,IF($D$130="A",3,IF($D$130="B",4,5))))+E166/(0.92*1000),VLOOKUP(D166,'Estratos SCX - ISA'!$O$4:$S$108,IF($D$130="A1",2,IF($D$130="A",3,IF($D$130="B",4,5))))+E166/(0.92*1000)))))))</f>
        <v/>
      </c>
      <c r="G166" s="59" t="str">
        <f t="shared" si="19"/>
        <v/>
      </c>
      <c r="H166" s="183"/>
      <c r="I166" s="183"/>
      <c r="J166" s="59" t="str">
        <f>IF(OR(H166="",$D$10="",$N$10=""),"",IF($D$10="COBRE",VLOOKUP(CDV_PROY_BT!H166,FDV!$B$16:$E$24,IF(CDV_PROY_BT!$N$10="3F",3,4),FALSE),IF($D$10="ACS",VLOOKUP(CDV_PROY_BT!H166,FDV!$B$10:$E$15,IF(CDV_PROY_BT!$N$10="3F",3,4),FALSE),IF($D$10="5005 (PREENSAMBLADO)",VLOOKUP(CDV_PROY_BT!H166,FDV!$B$4:$E$9,IF(CDV_PROY_BT!$N$10="3F",3,4),FALSE),VLOOKUP(CDV_PROY_BT!H166,FDV!$B$25:$E$30,IF(CDV_PROY_BT!$N$10="3F",3,4),FALSE)))))</f>
        <v/>
      </c>
      <c r="K166" s="63" t="str">
        <f t="shared" si="18"/>
        <v/>
      </c>
      <c r="L166" s="62" t="str">
        <f t="shared" si="20"/>
        <v/>
      </c>
      <c r="M166" s="62" t="str">
        <f t="shared" si="21"/>
        <v/>
      </c>
      <c r="N166" s="156"/>
      <c r="U166" s="138">
        <f t="shared" si="22"/>
        <v>0</v>
      </c>
      <c r="V166" s="138">
        <f t="shared" si="23"/>
        <v>0</v>
      </c>
    </row>
    <row r="167" spans="1:22" ht="15.75" hidden="1" thickBot="1">
      <c r="A167" s="178"/>
      <c r="B167" s="179"/>
      <c r="C167" s="180"/>
      <c r="D167" s="180"/>
      <c r="E167" s="181"/>
      <c r="F167" s="68" t="str">
        <f>IF($N$126="","",IF($N$126="INDUSTRIAL",IF(OR($D$124="",$D$130=""),"",IF(OR(D167&gt;$D$131,E167&gt;$D$132),"Rev. Total. abona.",IF(D167="",IF(E167="","",E167/(0.92*1000)),IF(OR($D$124="SAN CRISTOBAL",$D$124="FLOREANA"),VLOOKUP(D167,'Estratos SCY - FLO'!$A$4:$M$108,IF($D$130="A1",2,IF($D$130="A",5,IF($D$130="B",8,11))))+E167/(0.92*1000),VLOOKUP(D167,'Estratos SCX - ISA'!$A$3:$M$107,IF($D$130="A1",2,IF($D$130="A",5,IF($D$130="B",8,11))))+E167/(0.92*1000))))),IF(OR($D$124="",$D$130=""),"",IF(OR(D167&gt;$D$131,E167&gt;$D$132),"Rev. Total. abona.",IF(D167="",IF(E167="","",E167/(0.92*1000)),IF(OR($D$124="SAN CRISTOBAL",$D$124="FLOREANA"),VLOOKUP(D167,'Estratos SCY - FLO'!$O$4:$S$108,IF($D$130="A1",2,IF($D$130="A",3,IF($D$130="B",4,5))))+E167/(0.92*1000),VLOOKUP(D167,'Estratos SCX - ISA'!$O$4:$S$108,IF($D$130="A1",2,IF($D$130="A",3,IF($D$130="B",4,5))))+E167/(0.92*1000)))))))</f>
        <v/>
      </c>
      <c r="G167" s="69" t="str">
        <f t="shared" si="19"/>
        <v/>
      </c>
      <c r="H167" s="184"/>
      <c r="I167" s="184"/>
      <c r="J167" s="69" t="str">
        <f>IF(OR(H167="",$D$10="",$N$10=""),"",IF($D$10="COBRE",VLOOKUP(CDV_PROY_BT!H167,FDV!$B$16:$E$24,IF(CDV_PROY_BT!$N$10="3F",3,4),FALSE),IF($D$10="ACS",VLOOKUP(CDV_PROY_BT!H167,FDV!$B$10:$E$15,IF(CDV_PROY_BT!$N$10="3F",3,4),FALSE),IF($D$10="5005 (PREENSAMBLADO)",VLOOKUP(CDV_PROY_BT!H167,FDV!$B$4:$E$9,IF(CDV_PROY_BT!$N$10="3F",3,4),FALSE),VLOOKUP(CDV_PROY_BT!H167,FDV!$B$25:$E$30,IF(CDV_PROY_BT!$N$10="3F",3,4),FALSE)))))</f>
        <v/>
      </c>
      <c r="K167" s="65" t="str">
        <f t="shared" si="18"/>
        <v/>
      </c>
      <c r="L167" s="64" t="str">
        <f t="shared" si="20"/>
        <v/>
      </c>
      <c r="M167" s="64" t="str">
        <f t="shared" si="21"/>
        <v/>
      </c>
      <c r="N167" s="157"/>
      <c r="U167" s="138">
        <f t="shared" si="22"/>
        <v>0</v>
      </c>
      <c r="V167" s="138">
        <f t="shared" si="23"/>
        <v>0</v>
      </c>
    </row>
    <row r="168" spans="1:22" ht="15.75" hidden="1" thickBot="1">
      <c r="A168" s="143"/>
      <c r="B168" s="67" t="str">
        <f>IF(N137="","",N137)</f>
        <v>P22</v>
      </c>
      <c r="C168" s="144"/>
      <c r="D168" s="144"/>
      <c r="E168" s="145"/>
      <c r="F168" s="68" t="str">
        <f>IF(OR($D$124="",$D$130=""),"",IF(OR(D168&gt;$D$131,E168&gt;$D$132),"Rev. Total. abona.",IF(D168="",IF(E168="","",E168/(0.9*1000)),IF(OR($D$124="SAN CRISTOBAL",$D$124="FLOREANA"),VLOOKUP(D168,'Estratos SCY - FLO'!$A$4:$M$108,IF($D$130="A1",2,IF($D$130="A",5,IF($D$130="B",8,11))))+E168/(0.9*1000),VLOOKUP(D168,'Estratos SCX - ISA'!$A$3:$M$107,IF($D$130="A1",2,IF($D$130="A",5,IF($D$130="B",8,11))))+E168/(0.92*1000)))))</f>
        <v/>
      </c>
      <c r="G168" s="69" t="str">
        <f t="shared" si="19"/>
        <v/>
      </c>
      <c r="H168" s="146" t="e">
        <f>IF(B168="","",IF(B168-A168=1,H167,""))</f>
        <v>#VALUE!</v>
      </c>
      <c r="I168" s="146"/>
      <c r="J168" s="70" t="e">
        <f>IF(OR(H168="",$D$10="",$N$10=""),"",IF($D$10="COBRE",VLOOKUP(CDV_PROY_BT!H168,FDV!$B$16:$E$24,IF(CDV_PROY_BT!$N$10="3F",3,4),FALSE),IF($D$10="ACS",VLOOKUP(CDV_PROY_BT!H168,FDV!$B$10:$E$15,IF(CDV_PROY_BT!$N$10="3F",3,4),FALSE),IF($D$10="5005 (PREENSAMBLADO)",VLOOKUP(CDV_PROY_BT!H168,FDV!$B$4:$E$9,IF(CDV_PROY_BT!$N$10="3F",3,4),FALSE),VLOOKUP(CDV_PROY_BT!H168,FDV!$B$25:$E$30,IF(CDV_PROY_BT!$N$10="3F",3,4),FALSE)))))</f>
        <v>#VALUE!</v>
      </c>
      <c r="K168" s="71" t="str">
        <f t="shared" si="18"/>
        <v/>
      </c>
      <c r="L168" s="68" t="str">
        <f aca="true" t="shared" si="24" ref="L168">IF(C168="","",ROUND(K168/J168,2))</f>
        <v/>
      </c>
      <c r="M168" s="72">
        <v>0</v>
      </c>
      <c r="N168" s="66"/>
      <c r="U168" s="138">
        <f aca="true" t="shared" si="25" ref="U168:U169">+IF(D168&gt;0,C168,0)</f>
        <v>0</v>
      </c>
      <c r="V168" s="138">
        <f aca="true" t="shared" si="26" ref="V168:V169">IF(C168="",0,C168*G168)</f>
        <v>0</v>
      </c>
    </row>
    <row r="169" spans="1:22" ht="15.75" hidden="1" thickBot="1">
      <c r="A169" s="73" t="s">
        <v>113</v>
      </c>
      <c r="B169" s="74"/>
      <c r="C169" s="75"/>
      <c r="D169" s="75"/>
      <c r="E169" s="76"/>
      <c r="F169" s="77"/>
      <c r="G169" s="78"/>
      <c r="H169" s="79"/>
      <c r="I169" s="79"/>
      <c r="J169" s="78"/>
      <c r="K169" s="121"/>
      <c r="L169" s="121"/>
      <c r="M169" s="128"/>
      <c r="N169" s="233"/>
      <c r="U169" s="138">
        <f t="shared" si="25"/>
        <v>0</v>
      </c>
      <c r="V169" s="138">
        <f t="shared" si="26"/>
        <v>0</v>
      </c>
    </row>
    <row r="170" spans="1:14" ht="15.75" hidden="1" thickBot="1">
      <c r="A170" s="93" t="s">
        <v>96</v>
      </c>
      <c r="B170" s="94">
        <f>+ROUND(SUMIF(H141:H167,"4/0",V141:V169)*1.015,0)</f>
        <v>0</v>
      </c>
      <c r="C170" s="93" t="s">
        <v>97</v>
      </c>
      <c r="D170" s="94">
        <f>ROUND((SUMIF(H141:H167,"3/0",V141:V169))*1.015,0)</f>
        <v>0</v>
      </c>
      <c r="E170" s="82" t="s">
        <v>95</v>
      </c>
      <c r="F170" s="81">
        <f>ROUND((SUMIF(H141:H167,"2/0",V141:V169))*1.015,0)</f>
        <v>59</v>
      </c>
      <c r="G170" s="80" t="s">
        <v>57</v>
      </c>
      <c r="H170" s="81">
        <f>ROUND((SUMIF(H141:H167,"1/0",V141:V169))*1.015,0)</f>
        <v>0</v>
      </c>
      <c r="I170" s="93" t="s">
        <v>58</v>
      </c>
      <c r="J170" s="94">
        <f>ROUND((SUMIF(H141:H167,"2",V141:V169))*1.015,0)</f>
        <v>0</v>
      </c>
      <c r="K170" s="147"/>
      <c r="L170" s="91"/>
      <c r="M170" s="92"/>
      <c r="N170" s="234"/>
    </row>
    <row r="171" spans="1:14" ht="15.75" hidden="1" thickBot="1">
      <c r="A171" s="119" t="s">
        <v>107</v>
      </c>
      <c r="B171" s="92"/>
      <c r="C171" s="91"/>
      <c r="D171" s="92"/>
      <c r="E171" s="91"/>
      <c r="F171" s="92"/>
      <c r="G171" s="91"/>
      <c r="H171" s="92"/>
      <c r="I171" s="92"/>
      <c r="J171" s="91"/>
      <c r="K171" s="92"/>
      <c r="L171" s="91"/>
      <c r="M171" s="92"/>
      <c r="N171" s="234"/>
    </row>
    <row r="172" spans="1:14" ht="15.75" hidden="1" thickBot="1">
      <c r="A172" s="93" t="s">
        <v>96</v>
      </c>
      <c r="B172" s="94">
        <f>+ROUND(SUMIF(I141:I167,"4/0",U141:U169)*1.015,0)</f>
        <v>0</v>
      </c>
      <c r="C172" s="93" t="s">
        <v>97</v>
      </c>
      <c r="D172" s="94">
        <f>ROUND((SUMIF(I141:I167,"3/0",U141:U169))*1.015,0)</f>
        <v>0</v>
      </c>
      <c r="E172" s="93" t="s">
        <v>95</v>
      </c>
      <c r="F172" s="94">
        <f>ROUND((SUMIF(I141:I167,"2/0",U141:U169))*1.015,0)</f>
        <v>59</v>
      </c>
      <c r="G172" s="93" t="s">
        <v>57</v>
      </c>
      <c r="H172" s="94">
        <f>ROUND((SUMIF(I141:I167,"1/0",U141:U169))*1.015,0)</f>
        <v>0</v>
      </c>
      <c r="I172" s="93" t="s">
        <v>58</v>
      </c>
      <c r="J172" s="94">
        <f>ROUND((SUMIF(I141:I167,"2",U141:U169))*1.015,0)</f>
        <v>0</v>
      </c>
      <c r="L172" s="91"/>
      <c r="M172" s="92"/>
      <c r="N172" s="234"/>
    </row>
    <row r="173" spans="1:14" ht="15.75" hidden="1" thickBot="1">
      <c r="A173" s="235" t="s">
        <v>123</v>
      </c>
      <c r="B173" s="235"/>
      <c r="C173" s="235"/>
      <c r="D173" s="21">
        <f>IF(N128="","",SUM(C141:C167))</f>
        <v>58</v>
      </c>
      <c r="E173" s="28" t="s">
        <v>59</v>
      </c>
      <c r="G173" s="21"/>
      <c r="H173" s="21"/>
      <c r="I173" s="21"/>
      <c r="J173" s="21"/>
      <c r="K173" s="21"/>
      <c r="L173" s="21"/>
      <c r="M173" s="23"/>
      <c r="N173" s="83" t="s">
        <v>80</v>
      </c>
    </row>
    <row r="174" spans="1:14" ht="15" hidden="1">
      <c r="A174" s="36" t="s">
        <v>60</v>
      </c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7"/>
      <c r="N174" s="84" t="s">
        <v>61</v>
      </c>
    </row>
    <row r="175" spans="1:14" ht="15.75" hidden="1" thickBot="1">
      <c r="A175" s="148"/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9"/>
      <c r="N175" s="85">
        <f>MAX(N141:N167)</f>
        <v>3.16</v>
      </c>
    </row>
    <row r="176" ht="15.75" hidden="1" thickBot="1"/>
    <row r="177" spans="1:14" ht="15.75" hidden="1" thickBot="1">
      <c r="A177" s="18"/>
      <c r="B177" s="18"/>
      <c r="C177" s="19"/>
      <c r="D177" s="19"/>
      <c r="E177" s="19"/>
      <c r="F177" s="20"/>
      <c r="G177" s="18"/>
      <c r="H177" s="18"/>
      <c r="I177" s="18"/>
      <c r="J177" s="19"/>
      <c r="K177" s="18"/>
      <c r="L177" s="18"/>
      <c r="M177" s="131" t="s">
        <v>122</v>
      </c>
      <c r="N177" s="161" t="s">
        <v>197</v>
      </c>
    </row>
    <row r="178" spans="1:14" ht="18" hidden="1">
      <c r="A178" s="256" t="s">
        <v>62</v>
      </c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</row>
    <row r="179" spans="1:14" ht="18" hidden="1">
      <c r="A179" s="192"/>
      <c r="B179" s="192"/>
      <c r="C179" s="192"/>
      <c r="D179" s="192"/>
      <c r="E179" s="192"/>
      <c r="F179" s="22" t="s">
        <v>111</v>
      </c>
      <c r="G179" s="192"/>
      <c r="H179" s="192"/>
      <c r="I179" s="192"/>
      <c r="J179" s="192"/>
      <c r="K179" s="192"/>
      <c r="L179" s="192"/>
      <c r="M179" s="192"/>
      <c r="N179" s="87"/>
    </row>
    <row r="180" spans="1:31" ht="15.75" hidden="1">
      <c r="A180" s="257" t="s">
        <v>112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U180" s="138" t="s">
        <v>63</v>
      </c>
      <c r="W180" s="138" t="s">
        <v>24</v>
      </c>
      <c r="Y180" s="138" t="s">
        <v>69</v>
      </c>
      <c r="AA180" s="138" t="s">
        <v>72</v>
      </c>
      <c r="AB180" s="138" t="s">
        <v>77</v>
      </c>
      <c r="AC180" s="138" t="s">
        <v>79</v>
      </c>
      <c r="AD180" s="138" t="s">
        <v>160</v>
      </c>
      <c r="AE180" s="138" t="s">
        <v>166</v>
      </c>
    </row>
    <row r="181" spans="1:31" ht="16.5" hidden="1" thickBot="1">
      <c r="A181" s="24"/>
      <c r="B181" s="18"/>
      <c r="C181" s="19"/>
      <c r="D181" s="19"/>
      <c r="E181" s="19"/>
      <c r="F181" s="20"/>
      <c r="G181" s="20"/>
      <c r="H181" s="18"/>
      <c r="I181" s="18"/>
      <c r="J181" s="18"/>
      <c r="K181" s="19"/>
      <c r="L181" s="18"/>
      <c r="M181" s="18"/>
      <c r="N181" s="23"/>
      <c r="U181" s="138" t="s">
        <v>64</v>
      </c>
      <c r="W181" s="138" t="s">
        <v>82</v>
      </c>
      <c r="Y181" s="138" t="s">
        <v>70</v>
      </c>
      <c r="AA181" s="138" t="s">
        <v>73</v>
      </c>
      <c r="AB181" s="138" t="s">
        <v>29</v>
      </c>
      <c r="AC181" s="139">
        <v>2</v>
      </c>
      <c r="AD181" s="138" t="s">
        <v>161</v>
      </c>
      <c r="AE181" s="138">
        <v>0.65</v>
      </c>
    </row>
    <row r="182" spans="1:31" ht="15.75" hidden="1" thickBot="1">
      <c r="A182" s="25" t="s">
        <v>23</v>
      </c>
      <c r="B182" s="26"/>
      <c r="C182" s="88"/>
      <c r="D182" s="246" t="s">
        <v>64</v>
      </c>
      <c r="E182" s="246"/>
      <c r="F182" s="258" t="s">
        <v>92</v>
      </c>
      <c r="G182" s="259"/>
      <c r="H182" s="260" t="e">
        <f>+H124</f>
        <v>#REF!</v>
      </c>
      <c r="I182" s="261"/>
      <c r="J182" s="262"/>
      <c r="K182" s="263" t="s">
        <v>81</v>
      </c>
      <c r="L182" s="264"/>
      <c r="M182" s="265" t="e">
        <f>+M124</f>
        <v>#REF!</v>
      </c>
      <c r="N182" s="266"/>
      <c r="U182" s="138" t="s">
        <v>65</v>
      </c>
      <c r="W182" s="138" t="s">
        <v>83</v>
      </c>
      <c r="Y182" s="138" t="s">
        <v>7</v>
      </c>
      <c r="AA182" s="138" t="s">
        <v>76</v>
      </c>
      <c r="AB182" s="138" t="s">
        <v>78</v>
      </c>
      <c r="AC182" s="139" t="s">
        <v>0</v>
      </c>
      <c r="AD182" s="138" t="s">
        <v>162</v>
      </c>
      <c r="AE182" s="138">
        <v>0.7</v>
      </c>
    </row>
    <row r="183" spans="1:31" ht="15.75" hidden="1" thickBot="1">
      <c r="A183" s="21"/>
      <c r="B183" s="21"/>
      <c r="C183" s="21"/>
      <c r="D183" s="21"/>
      <c r="E183" s="21"/>
      <c r="F183" s="28"/>
      <c r="G183" s="28"/>
      <c r="H183" s="21"/>
      <c r="I183" s="21"/>
      <c r="J183" s="21"/>
      <c r="K183" s="21"/>
      <c r="L183" s="21"/>
      <c r="M183" s="21"/>
      <c r="N183" s="23"/>
      <c r="U183" s="138" t="s">
        <v>66</v>
      </c>
      <c r="W183" s="138" t="s">
        <v>68</v>
      </c>
      <c r="Y183" s="138" t="s">
        <v>27</v>
      </c>
      <c r="AA183" s="138" t="s">
        <v>74</v>
      </c>
      <c r="AC183" s="139" t="s">
        <v>1</v>
      </c>
      <c r="AD183" s="138" t="s">
        <v>163</v>
      </c>
      <c r="AE183" s="138">
        <v>0.8</v>
      </c>
    </row>
    <row r="184" spans="1:31" ht="15.75" hidden="1" thickBot="1">
      <c r="A184" s="25" t="s">
        <v>24</v>
      </c>
      <c r="B184" s="26"/>
      <c r="C184" s="26"/>
      <c r="D184" s="245" t="s">
        <v>68</v>
      </c>
      <c r="E184" s="246"/>
      <c r="F184" s="247"/>
      <c r="G184" s="26"/>
      <c r="H184" s="29"/>
      <c r="I184" s="29"/>
      <c r="J184" s="26"/>
      <c r="K184" s="26"/>
      <c r="L184" s="26" t="s">
        <v>164</v>
      </c>
      <c r="M184" s="26"/>
      <c r="N184" s="208" t="s">
        <v>163</v>
      </c>
      <c r="U184" s="138" t="s">
        <v>67</v>
      </c>
      <c r="Y184" s="138" t="s">
        <v>9</v>
      </c>
      <c r="AA184" s="138" t="s">
        <v>75</v>
      </c>
      <c r="AC184" s="139" t="s">
        <v>2</v>
      </c>
      <c r="AE184" s="138">
        <v>0.9</v>
      </c>
    </row>
    <row r="185" spans="1:31" ht="15.75" hidden="1" thickBot="1">
      <c r="A185" s="23" t="s">
        <v>25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 t="s">
        <v>168</v>
      </c>
      <c r="L185" s="205"/>
      <c r="M185" s="23"/>
      <c r="N185" s="43" t="str">
        <f>IF(N186="","",IF(N186="3F","220 / 127 V","240 / 120 V"))</f>
        <v>220 / 127 V</v>
      </c>
      <c r="AC185" s="141" t="s">
        <v>3</v>
      </c>
      <c r="AE185" s="138">
        <v>1</v>
      </c>
    </row>
    <row r="186" spans="1:24" ht="15.75" hidden="1" thickBot="1">
      <c r="A186" s="30" t="s">
        <v>26</v>
      </c>
      <c r="B186" s="18"/>
      <c r="C186" s="23"/>
      <c r="D186" s="248" t="s">
        <v>70</v>
      </c>
      <c r="E186" s="249"/>
      <c r="F186" s="18"/>
      <c r="G186" s="18"/>
      <c r="H186" s="18"/>
      <c r="I186" s="18"/>
      <c r="J186" s="18"/>
      <c r="K186" s="23"/>
      <c r="L186" s="18" t="s">
        <v>169</v>
      </c>
      <c r="M186" s="18"/>
      <c r="N186" s="151" t="s">
        <v>78</v>
      </c>
      <c r="U186" s="138" t="s">
        <v>64</v>
      </c>
      <c r="W186" s="138" t="s">
        <v>29</v>
      </c>
      <c r="X186" s="138" t="s">
        <v>78</v>
      </c>
    </row>
    <row r="187" spans="1:24" ht="15.75" hidden="1" thickBot="1">
      <c r="A187" s="23"/>
      <c r="B187" s="31"/>
      <c r="C187" s="23"/>
      <c r="D187" s="19"/>
      <c r="E187" s="32"/>
      <c r="F187" s="32"/>
      <c r="G187" s="20"/>
      <c r="H187" s="20"/>
      <c r="I187" s="20"/>
      <c r="J187" s="33"/>
      <c r="K187" s="21" t="s">
        <v>165</v>
      </c>
      <c r="L187" s="35"/>
      <c r="M187" s="18"/>
      <c r="N187" s="206">
        <v>0.8</v>
      </c>
      <c r="U187" s="138" t="s">
        <v>84</v>
      </c>
      <c r="W187" s="138">
        <v>10</v>
      </c>
      <c r="X187" s="138">
        <v>30</v>
      </c>
    </row>
    <row r="188" spans="1:24" ht="15.75" hidden="1" thickBot="1">
      <c r="A188" s="36" t="s">
        <v>71</v>
      </c>
      <c r="B188" s="37"/>
      <c r="C188" s="37"/>
      <c r="D188" s="150" t="s">
        <v>74</v>
      </c>
      <c r="E188" s="38"/>
      <c r="F188" s="39"/>
      <c r="G188" s="39"/>
      <c r="H188" s="39"/>
      <c r="I188" s="39"/>
      <c r="J188" s="37"/>
      <c r="K188" s="36"/>
      <c r="L188" s="37"/>
      <c r="M188" s="89" t="s">
        <v>30</v>
      </c>
      <c r="N188" s="190" t="s">
        <v>134</v>
      </c>
      <c r="U188" s="138" t="s">
        <v>85</v>
      </c>
      <c r="W188" s="138">
        <v>15</v>
      </c>
      <c r="X188" s="138">
        <v>50</v>
      </c>
    </row>
    <row r="189" spans="1:24" ht="15.75" hidden="1" thickBot="1">
      <c r="A189" s="41" t="s">
        <v>31</v>
      </c>
      <c r="B189" s="21"/>
      <c r="C189" s="21"/>
      <c r="D189" s="150">
        <v>13</v>
      </c>
      <c r="E189" s="21"/>
      <c r="F189" s="28"/>
      <c r="G189" s="42" t="s">
        <v>32</v>
      </c>
      <c r="H189" s="250" t="e">
        <f>+H131</f>
        <v>#REF!</v>
      </c>
      <c r="I189" s="251"/>
      <c r="J189" s="251"/>
      <c r="K189" s="41"/>
      <c r="L189" s="21"/>
      <c r="M189" s="115" t="s">
        <v>93</v>
      </c>
      <c r="N189" s="207">
        <f>+N190/N187</f>
        <v>56.75612076681557</v>
      </c>
      <c r="U189" s="138" t="s">
        <v>86</v>
      </c>
      <c r="W189" s="138">
        <v>25</v>
      </c>
      <c r="X189" s="138">
        <v>75</v>
      </c>
    </row>
    <row r="190" spans="1:24" ht="15.75" hidden="1" thickBot="1">
      <c r="A190" s="41" t="s">
        <v>34</v>
      </c>
      <c r="B190" s="21"/>
      <c r="C190" s="21"/>
      <c r="D190" s="162">
        <v>660</v>
      </c>
      <c r="E190" s="41"/>
      <c r="F190" s="28"/>
      <c r="G190" s="42" t="s">
        <v>35</v>
      </c>
      <c r="H190" s="252" t="e">
        <f>+H132</f>
        <v>#REF!</v>
      </c>
      <c r="I190" s="253"/>
      <c r="J190" s="253"/>
      <c r="K190" s="41"/>
      <c r="L190" s="21"/>
      <c r="M190" s="115" t="s">
        <v>167</v>
      </c>
      <c r="N190" s="116">
        <f>IF($N$184="","",IF($N$184="INDUSTRIAL",IF(OR(D182="",D188="",D189=""),"",(IF(OR(D182="SAN CRISTOBAL",D182="FLOREANA"),VLOOKUP(D189,'Estratos SCY - FLO'!$A$4:$M$108,IF(D188="A1",2,IF(D188="A",5,IF(D188="B",8,11))),0),VLOOKUP(D189,'Estratos SCX - ISA'!$A$4:$M$108,IF(D188="A1",2,IF(D188="A",5,IF(D188="B",8,11))),0))+D190/920)*N187),IF(OR(D182="",D188="",D189=""),"",(IF(OR(D182="SAN CRISTOBAL",D182="FLOREANA"),VLOOKUP(D189,'Estratos SCY - FLO'!$O$4:$S$108,IF(D188="A1",2,IF(D188="A",3,IF(D188="B",4,5))),0),VLOOKUP(D189,'Estratos SCX - ISA'!$O$4:$S$108,IF(D188="A1",2,IF(D188="A",3,IF(D188="B",4,5))),0))+D190/920)*N187)))</f>
        <v>45.40489661345246</v>
      </c>
      <c r="U190" s="138" t="s">
        <v>87</v>
      </c>
      <c r="W190" s="138">
        <v>37.5</v>
      </c>
      <c r="X190" s="138">
        <v>100</v>
      </c>
    </row>
    <row r="191" spans="1:24" ht="34.5" customHeight="1" hidden="1" thickBot="1">
      <c r="A191" s="254" t="str">
        <f>+IF(OR(N184="INDUSTRIAL"),"NOTA: Estratos:  A1 (Consumo-Alto); A (Consumo-Medio); B(Consumo-Bajo); C(Consumo-Mínimo)",IF(N184="","","NOTA: Estratos:  A1 (Casco Urbano-Sector hotelero);A (Barrios Centricos); B(Zona Periferica); C(Zona Rural)"))</f>
        <v>NOTA: Estratos:  A1 (Consumo-Alto); A (Consumo-Medio); B(Consumo-Bajo); C(Consumo-Mínimo)</v>
      </c>
      <c r="B191" s="255"/>
      <c r="C191" s="255"/>
      <c r="D191" s="255"/>
      <c r="E191" s="255"/>
      <c r="F191" s="255"/>
      <c r="G191" s="255"/>
      <c r="H191" s="255"/>
      <c r="I191" s="255"/>
      <c r="J191" s="255"/>
      <c r="K191" s="44"/>
      <c r="L191" s="34"/>
      <c r="M191" s="130" t="str">
        <f>+IF(OR(N186="",D188="",D189=""),"","POT. NOMINAL TRAFO. (KVA):")</f>
        <v>POT. NOMINAL TRAFO. (KVA):</v>
      </c>
      <c r="N191" s="117">
        <f>IF(OR(N186="",N187="",N187=0),"",IF(N186="1F",IF(N190&lt;$W$11,$W$11,IF(AND(N190&gt;$W$11,N190&lt;$W$12),$W$12,IF(AND(N190&gt;$W$12,N190&lt;$W$13),$W$13,IF(AND(N190&gt;$W$13,N190&lt;$W$14),$W$14,IF(AND(N190&gt;$W$14,N190&lt;$W$15),$W$15,IF(AND(N190&gt;$W$15,N190&lt;$W$16),$W$16,IF(AND(N190&gt;$W$16,N190&lt;$W$17),$W$17,IF(AND(N190&gt;$W$17,N190&lt;$W$18),$W$18,IF(AND(N190&gt;$W$18,N190&lt;$W$19),$W$19,""))))))))),IF($N$190&lt;$X$11,$X$11,IF(AND(N190&gt;$X$11,N190&lt;$X$12),$X$12,IF(AND(N190&gt;$X$12,N190&lt;$X$13),$X$13,IF(AND(N190&gt;$X$13,N190&lt;$X$14),$X$14,IF(AND(N190&gt;$X$14,N190&lt;$X$15),$X$15,IF(AND(N190&gt;$X$15,N190&lt;$X$16),$X$16,IF(AND(N190&gt;$X$16,N190&lt;$X$17),$X$17,"")))))))))</f>
        <v>50</v>
      </c>
      <c r="U191" s="138" t="s">
        <v>88</v>
      </c>
      <c r="W191" s="138">
        <v>50</v>
      </c>
      <c r="X191" s="138">
        <v>125</v>
      </c>
    </row>
    <row r="192" spans="1:24" ht="15.75" hidden="1" thickBot="1">
      <c r="A192" s="21"/>
      <c r="B192" s="21"/>
      <c r="C192" s="21"/>
      <c r="D192" s="21"/>
      <c r="E192" s="21"/>
      <c r="F192" s="28"/>
      <c r="G192" s="28"/>
      <c r="H192" s="21"/>
      <c r="I192" s="21"/>
      <c r="J192" s="21"/>
      <c r="K192" s="21"/>
      <c r="L192" s="21"/>
      <c r="M192" s="21"/>
      <c r="N192" s="23"/>
      <c r="U192" s="138" t="s">
        <v>89</v>
      </c>
      <c r="W192" s="138">
        <v>75</v>
      </c>
      <c r="X192" s="138">
        <v>150</v>
      </c>
    </row>
    <row r="193" spans="1:24" ht="19.5" hidden="1" thickBot="1">
      <c r="A193" s="46" t="s">
        <v>36</v>
      </c>
      <c r="B193" s="47"/>
      <c r="C193" s="47"/>
      <c r="D193" s="48" t="s">
        <v>37</v>
      </c>
      <c r="E193" s="49"/>
      <c r="F193" s="50"/>
      <c r="G193" s="50"/>
      <c r="H193" s="37"/>
      <c r="I193" s="37"/>
      <c r="J193" s="37"/>
      <c r="K193" s="37"/>
      <c r="L193" s="37"/>
      <c r="M193" s="37"/>
      <c r="N193" s="40"/>
      <c r="U193" s="138" t="s">
        <v>90</v>
      </c>
      <c r="W193" s="138">
        <v>100</v>
      </c>
      <c r="X193" s="138">
        <v>200</v>
      </c>
    </row>
    <row r="194" spans="1:23" ht="15.75" hidden="1" thickBot="1">
      <c r="A194" s="41"/>
      <c r="B194" s="21"/>
      <c r="C194" s="21"/>
      <c r="D194" s="21"/>
      <c r="E194" s="21"/>
      <c r="F194" s="28"/>
      <c r="G194" s="28"/>
      <c r="H194" s="21"/>
      <c r="I194" s="21"/>
      <c r="J194" s="21"/>
      <c r="K194" s="21"/>
      <c r="L194" s="21" t="s">
        <v>186</v>
      </c>
      <c r="M194" s="21"/>
      <c r="N194" s="163"/>
      <c r="U194" s="138" t="s">
        <v>91</v>
      </c>
      <c r="W194" s="138">
        <v>112.5</v>
      </c>
    </row>
    <row r="195" spans="1:23" ht="15.75" hidden="1" thickBot="1">
      <c r="A195" s="44"/>
      <c r="B195" s="34"/>
      <c r="C195" s="34"/>
      <c r="D195" s="34"/>
      <c r="E195" s="34"/>
      <c r="F195" s="45"/>
      <c r="G195" s="45"/>
      <c r="H195" s="34"/>
      <c r="I195" s="34"/>
      <c r="J195" s="34"/>
      <c r="K195" s="34"/>
      <c r="L195" s="113" t="s">
        <v>102</v>
      </c>
      <c r="M195" s="142"/>
      <c r="N195" s="163" t="s">
        <v>140</v>
      </c>
      <c r="W195" s="138">
        <v>125</v>
      </c>
    </row>
    <row r="196" spans="1:14" ht="15.75" hidden="1" thickBot="1">
      <c r="A196" s="21"/>
      <c r="B196" s="21"/>
      <c r="C196" s="21"/>
      <c r="D196" s="21"/>
      <c r="E196" s="21"/>
      <c r="F196" s="28"/>
      <c r="G196" s="28"/>
      <c r="H196" s="21"/>
      <c r="I196" s="21"/>
      <c r="J196" s="21"/>
      <c r="K196" s="21"/>
      <c r="L196" s="21"/>
      <c r="M196" s="21"/>
      <c r="N196" s="23"/>
    </row>
    <row r="197" spans="1:22" ht="15.75" hidden="1" thickBot="1">
      <c r="A197" s="240" t="s">
        <v>38</v>
      </c>
      <c r="B197" s="241"/>
      <c r="C197" s="52" t="s">
        <v>39</v>
      </c>
      <c r="D197" s="52" t="s">
        <v>40</v>
      </c>
      <c r="E197" s="53" t="s">
        <v>41</v>
      </c>
      <c r="F197" s="53" t="s">
        <v>42</v>
      </c>
      <c r="G197" s="240" t="s">
        <v>43</v>
      </c>
      <c r="H197" s="242"/>
      <c r="I197" s="242"/>
      <c r="J197" s="241"/>
      <c r="K197" s="243" t="s">
        <v>44</v>
      </c>
      <c r="L197" s="242" t="s">
        <v>45</v>
      </c>
      <c r="M197" s="242"/>
      <c r="N197" s="241"/>
      <c r="U197" s="232" t="s">
        <v>98</v>
      </c>
      <c r="V197" s="232" t="s">
        <v>99</v>
      </c>
    </row>
    <row r="198" spans="1:22" ht="15.75" hidden="1" thickBot="1">
      <c r="A198" s="52" t="s">
        <v>46</v>
      </c>
      <c r="B198" s="52" t="s">
        <v>47</v>
      </c>
      <c r="C198" s="54" t="s">
        <v>48</v>
      </c>
      <c r="D198" s="54" t="s">
        <v>49</v>
      </c>
      <c r="E198" s="55" t="s">
        <v>50</v>
      </c>
      <c r="F198" s="55" t="s">
        <v>51</v>
      </c>
      <c r="G198" s="56" t="s">
        <v>52</v>
      </c>
      <c r="H198" s="43" t="s">
        <v>105</v>
      </c>
      <c r="I198" s="124" t="s">
        <v>106</v>
      </c>
      <c r="J198" s="43" t="s">
        <v>53</v>
      </c>
      <c r="K198" s="244"/>
      <c r="L198" s="53" t="s">
        <v>54</v>
      </c>
      <c r="M198" s="43" t="s">
        <v>55</v>
      </c>
      <c r="N198" s="57" t="s">
        <v>56</v>
      </c>
      <c r="U198" s="232"/>
      <c r="V198" s="232"/>
    </row>
    <row r="199" spans="1:22" ht="15" hidden="1">
      <c r="A199" s="191" t="str">
        <f>IF(N195="","",N195)</f>
        <v>P30</v>
      </c>
      <c r="B199" s="164" t="s">
        <v>135</v>
      </c>
      <c r="C199" s="165">
        <v>30</v>
      </c>
      <c r="D199" s="165">
        <v>7</v>
      </c>
      <c r="E199" s="166">
        <v>550</v>
      </c>
      <c r="F199" s="193">
        <f>IF($N$184="","",IF($N$184="INDUSTRIAL",IF(OR($D$182="",$D$188=""),"",IF(OR(D199&gt;$D$189,E199&gt;$D$190),"Rev. Total. abona.",IF(D199="",IF(E199="","",E199/(0.92*1000)),IF(OR($D$182="SAN CRISTOBAL",$D$182="FLOREANA"),VLOOKUP(D199,'Estratos SCY - FLO'!$A$4:$M$108,IF($D$188="A1",2,IF($D$188="A",5,IF($D$188="B",8,11))))+E199/(0.92*1000),VLOOKUP(D199,'Estratos SCX - ISA'!$A$3:$M$107,IF($D$188="A1",2,IF($D$188="A",5,IF($D$188="B",8,11))))+E199/(0.92*1000))))),IF(OR($D$182="",$D$188=""),"",IF(OR(D199&gt;$D$189,E199&gt;$D$190),"Rev. Total. abona.",IF(D199="",IF(E199="","",E199/(0.92*1000)),IF(OR($D$182="SAN CRISTOBAL",$D$182="FLOREANA"),VLOOKUP(D199,'Estratos SCY - FLO'!$O$4:$S$108,IF($D$188="A1",2,IF($D$188="A",3,IF($D$188="B",4,5))))+E199/(0.92*1000),VLOOKUP(D199,'Estratos SCX - ISA'!$O$4:$S$108,IF($D$188="A1",2,IF($D$188="A",3,IF($D$188="B",4,5))))+E199/(0.92*1000)))))))</f>
        <v>32.50137866223251</v>
      </c>
      <c r="G199" s="95">
        <f>IF(OR($N$10="",C199=""),"",IF($N$10="1F",1,3))</f>
        <v>1</v>
      </c>
      <c r="H199" s="182" t="s">
        <v>0</v>
      </c>
      <c r="I199" s="182" t="s">
        <v>0</v>
      </c>
      <c r="J199" s="95">
        <f>IF(OR(H199="",$D$10="",$N$10=""),"",IF($D$10="COBRE",VLOOKUP(CDV_PROY_BT!H199,FDV!$B$16:$E$24,IF(CDV_PROY_BT!$N$10="3F",3,4),FALSE),IF($D$10="ACS",VLOOKUP(CDV_PROY_BT!H199,FDV!$B$10:$E$15,IF(CDV_PROY_BT!$N$10="3F",3,4),FALSE),IF($D$10="5005 (PREENSAMBLADO)",VLOOKUP(CDV_PROY_BT!H199,FDV!$B$4:$E$9,IF(CDV_PROY_BT!$N$10="3F",3,4),FALSE),VLOOKUP(CDV_PROY_BT!H199,FDV!$B$25:$E$30,IF(CDV_PROY_BT!$N$10="3F",3,4),FALSE)))))</f>
        <v>412</v>
      </c>
      <c r="K199" s="60">
        <f aca="true" t="shared" si="27" ref="K199:K226">IF(C199="","",ROUND(F199*C199,0))</f>
        <v>975</v>
      </c>
      <c r="L199" s="61">
        <f>IF($N$19="","",IF(C199="","",ROUND(K199/J199,2)))</f>
        <v>2.37</v>
      </c>
      <c r="M199" s="61">
        <f>IF(C199="","",VLOOKUP(A199,$B$199:$N$226,12,FALSE)+L199+N194)</f>
        <v>2.37</v>
      </c>
      <c r="N199" s="154"/>
      <c r="U199" s="138">
        <f>+IF(C199="",0,C199)</f>
        <v>30</v>
      </c>
      <c r="V199" s="138">
        <f>IF(OR(C199="",G199=""),0,C199*G199)</f>
        <v>30</v>
      </c>
    </row>
    <row r="200" spans="1:22" ht="15" hidden="1">
      <c r="A200" s="167" t="s">
        <v>135</v>
      </c>
      <c r="B200" s="168" t="s">
        <v>128</v>
      </c>
      <c r="C200" s="169">
        <v>30</v>
      </c>
      <c r="D200" s="169"/>
      <c r="E200" s="170">
        <v>440</v>
      </c>
      <c r="F200" s="62">
        <f>IF($N$184="","",IF($N$184="INDUSTRIAL",IF(OR($D$182="",$D$188=""),"",IF(OR(D200&gt;$D$189,E200&gt;$D$190),"Rev. Total. abona.",IF(D200="",IF(E200="","",E200/(0.92*1000)),IF(OR($D$182="SAN CRISTOBAL",$D$182="FLOREANA"),VLOOKUP(D200,'Estratos SCY - FLO'!$A$4:$M$108,IF($D$188="A1",2,IF($D$188="A",5,IF($D$188="B",8,11))))+E200/(0.92*1000),VLOOKUP(D200,'Estratos SCX - ISA'!$A$3:$M$107,IF($D$188="A1",2,IF($D$188="A",5,IF($D$188="B",8,11))))+E200/(0.92*1000))))),IF(OR($D$182="",$D$188=""),"",IF(OR(D200&gt;$D$189,E200&gt;$D$190),"Rev. Total. abona.",IF(D200="",IF(E200="","",E200/(0.92*1000)),IF(OR($D$182="SAN CRISTOBAL",$D$182="FLOREANA"),VLOOKUP(D200,'Estratos SCY - FLO'!$O$4:$S$108,IF($D$188="A1",2,IF($D$188="A",3,IF($D$188="B",4,5))))+E200/(0.92*1000),VLOOKUP(D200,'Estratos SCX - ISA'!$O$4:$S$108,IF($D$188="A1",2,IF($D$188="A",3,IF($D$188="B",4,5))))+E200/(0.92*1000)))))))</f>
        <v>0.4782608695652174</v>
      </c>
      <c r="G200" s="59">
        <f aca="true" t="shared" si="28" ref="G200:G226">IF(OR($N$10="",C200=""),"",IF($N$10="1F",1,3))</f>
        <v>1</v>
      </c>
      <c r="H200" s="183" t="s">
        <v>0</v>
      </c>
      <c r="I200" s="183" t="s">
        <v>0</v>
      </c>
      <c r="J200" s="59">
        <f>IF(OR(H200="",$D$10="",$N$10=""),"",IF($D$10="COBRE",VLOOKUP(CDV_PROY_BT!H200,FDV!$B$16:$E$24,IF(CDV_PROY_BT!$N$10="3F",3,4),FALSE),IF($D$10="ACS",VLOOKUP(CDV_PROY_BT!H200,FDV!$B$10:$E$15,IF(CDV_PROY_BT!$N$10="3F",3,4),FALSE),IF($D$10="5005 (PREENSAMBLADO)",VLOOKUP(CDV_PROY_BT!H200,FDV!$B$4:$E$9,IF(CDV_PROY_BT!$N$10="3F",3,4),FALSE),VLOOKUP(CDV_PROY_BT!H200,FDV!$B$25:$E$30,IF(CDV_PROY_BT!$N$10="3F",3,4),FALSE)))))</f>
        <v>412</v>
      </c>
      <c r="K200" s="63">
        <f t="shared" si="27"/>
        <v>14</v>
      </c>
      <c r="L200" s="62">
        <f aca="true" t="shared" si="29" ref="L200:L225">IF($N$19="","",IF(C200="","",ROUND(K200/J200,2)))</f>
        <v>0.03</v>
      </c>
      <c r="M200" s="62">
        <f aca="true" t="shared" si="30" ref="M200:M225">IF(C200="","",VLOOKUP(A200,$B$199:$N$226,12,FALSE)+L200)</f>
        <v>2.4</v>
      </c>
      <c r="N200" s="155"/>
      <c r="U200" s="138">
        <f aca="true" t="shared" si="31" ref="U200:U225">+IF(C200="",0,C200)</f>
        <v>30</v>
      </c>
      <c r="V200" s="138">
        <f aca="true" t="shared" si="32" ref="V200:V225">IF(OR(C200="",G200=""),0,C200*G200)</f>
        <v>30</v>
      </c>
    </row>
    <row r="201" spans="1:22" ht="15" hidden="1">
      <c r="A201" s="167" t="s">
        <v>128</v>
      </c>
      <c r="B201" s="168" t="s">
        <v>136</v>
      </c>
      <c r="C201" s="169">
        <v>34</v>
      </c>
      <c r="D201" s="169"/>
      <c r="E201" s="170">
        <v>220</v>
      </c>
      <c r="F201" s="58">
        <f>IF($N$184="","",IF($N$184="INDUSTRIAL",IF(OR($D$182="",$D$188=""),"",IF(OR(D201&gt;$D$189,E201&gt;$D$190),"Rev. Total. abona.",IF(D201="",IF(E201="","",E201/(0.92*1000)),IF(OR($D$182="SAN CRISTOBAL",$D$182="FLOREANA"),VLOOKUP(D201,'Estratos SCY - FLO'!$A$4:$M$108,IF($D$188="A1",2,IF($D$188="A",5,IF($D$188="B",8,11))))+E201/(0.92*1000),VLOOKUP(D201,'Estratos SCX - ISA'!$A$3:$M$107,IF($D$188="A1",2,IF($D$188="A",5,IF($D$188="B",8,11))))+E201/(0.92*1000))))),IF(OR($D$182="",$D$188=""),"",IF(OR(D201&gt;$D$189,E201&gt;$D$190),"Rev. Total. abona.",IF(D201="",IF(E201="","",E201/(0.92*1000)),IF(OR($D$182="SAN CRISTOBAL",$D$182="FLOREANA"),VLOOKUP(D201,'Estratos SCY - FLO'!$O$4:$S$108,IF($D$188="A1",2,IF($D$188="A",3,IF($D$188="B",4,5))))+E201/(0.92*1000),VLOOKUP(D201,'Estratos SCX - ISA'!$O$4:$S$108,IF($D$188="A1",2,IF($D$188="A",3,IF($D$188="B",4,5))))+E201/(0.92*1000)))))))</f>
        <v>0.2391304347826087</v>
      </c>
      <c r="G201" s="59">
        <f t="shared" si="28"/>
        <v>1</v>
      </c>
      <c r="H201" s="183" t="s">
        <v>0</v>
      </c>
      <c r="I201" s="183" t="s">
        <v>0</v>
      </c>
      <c r="J201" s="59">
        <f>IF(OR(H201="",$D$10="",$N$10=""),"",IF($D$10="COBRE",VLOOKUP(CDV_PROY_BT!H201,FDV!$B$16:$E$24,IF(CDV_PROY_BT!$N$10="3F",3,4),FALSE),IF($D$10="ACS",VLOOKUP(CDV_PROY_BT!H201,FDV!$B$10:$E$15,IF(CDV_PROY_BT!$N$10="3F",3,4),FALSE),IF($D$10="5005 (PREENSAMBLADO)",VLOOKUP(CDV_PROY_BT!H201,FDV!$B$4:$E$9,IF(CDV_PROY_BT!$N$10="3F",3,4),FALSE),VLOOKUP(CDV_PROY_BT!H201,FDV!$B$25:$E$30,IF(CDV_PROY_BT!$N$10="3F",3,4),FALSE)))))</f>
        <v>412</v>
      </c>
      <c r="K201" s="63">
        <f t="shared" si="27"/>
        <v>8</v>
      </c>
      <c r="L201" s="62">
        <f t="shared" si="29"/>
        <v>0.02</v>
      </c>
      <c r="M201" s="62">
        <f t="shared" si="30"/>
        <v>2.42</v>
      </c>
      <c r="N201" s="155"/>
      <c r="U201" s="138">
        <f t="shared" si="31"/>
        <v>34</v>
      </c>
      <c r="V201" s="138">
        <f t="shared" si="32"/>
        <v>34</v>
      </c>
    </row>
    <row r="202" spans="1:22" ht="15" hidden="1">
      <c r="A202" s="167" t="s">
        <v>136</v>
      </c>
      <c r="B202" s="168" t="s">
        <v>137</v>
      </c>
      <c r="C202" s="169">
        <v>35</v>
      </c>
      <c r="D202" s="169"/>
      <c r="E202" s="170">
        <v>110</v>
      </c>
      <c r="F202" s="58">
        <f>IF($N$184="","",IF($N$184="INDUSTRIAL",IF(OR($D$182="",$D$188=""),"",IF(OR(D202&gt;$D$189,E202&gt;$D$190),"Rev. Total. abona.",IF(D202="",IF(E202="","",E202/(0.92*1000)),IF(OR($D$182="SAN CRISTOBAL",$D$182="FLOREANA"),VLOOKUP(D202,'Estratos SCY - FLO'!$A$4:$M$108,IF($D$188="A1",2,IF($D$188="A",5,IF($D$188="B",8,11))))+E202/(0.92*1000),VLOOKUP(D202,'Estratos SCX - ISA'!$A$3:$M$107,IF($D$188="A1",2,IF($D$188="A",5,IF($D$188="B",8,11))))+E202/(0.92*1000))))),IF(OR($D$182="",$D$188=""),"",IF(OR(D202&gt;$D$189,E202&gt;$D$190),"Rev. Total. abona.",IF(D202="",IF(E202="","",E202/(0.92*1000)),IF(OR($D$182="SAN CRISTOBAL",$D$182="FLOREANA"),VLOOKUP(D202,'Estratos SCY - FLO'!$O$4:$S$108,IF($D$188="A1",2,IF($D$188="A",3,IF($D$188="B",4,5))))+E202/(0.92*1000),VLOOKUP(D202,'Estratos SCX - ISA'!$O$4:$S$108,IF($D$188="A1",2,IF($D$188="A",3,IF($D$188="B",4,5))))+E202/(0.92*1000)))))))</f>
        <v>0.11956521739130435</v>
      </c>
      <c r="G202" s="59">
        <f t="shared" si="28"/>
        <v>1</v>
      </c>
      <c r="H202" s="183" t="s">
        <v>0</v>
      </c>
      <c r="I202" s="183" t="s">
        <v>0</v>
      </c>
      <c r="J202" s="59">
        <f>IF(OR(H202="",$D$10="",$N$10=""),"",IF($D$10="COBRE",VLOOKUP(CDV_PROY_BT!H202,FDV!$B$16:$E$24,IF(CDV_PROY_BT!$N$10="3F",3,4),FALSE),IF($D$10="ACS",VLOOKUP(CDV_PROY_BT!H202,FDV!$B$10:$E$15,IF(CDV_PROY_BT!$N$10="3F",3,4),FALSE),IF($D$10="5005 (PREENSAMBLADO)",VLOOKUP(CDV_PROY_BT!H202,FDV!$B$4:$E$9,IF(CDV_PROY_BT!$N$10="3F",3,4),FALSE),VLOOKUP(CDV_PROY_BT!H202,FDV!$B$25:$E$30,IF(CDV_PROY_BT!$N$10="3F",3,4),FALSE)))))</f>
        <v>412</v>
      </c>
      <c r="K202" s="63">
        <f t="shared" si="27"/>
        <v>4</v>
      </c>
      <c r="L202" s="62">
        <f t="shared" si="29"/>
        <v>0.01</v>
      </c>
      <c r="M202" s="62">
        <f t="shared" si="30"/>
        <v>2.4299999999999997</v>
      </c>
      <c r="N202" s="155">
        <f>+M202</f>
        <v>2.4299999999999997</v>
      </c>
      <c r="U202" s="138">
        <f t="shared" si="31"/>
        <v>35</v>
      </c>
      <c r="V202" s="138">
        <f t="shared" si="32"/>
        <v>35</v>
      </c>
    </row>
    <row r="203" spans="1:22" ht="15" hidden="1">
      <c r="A203" s="167"/>
      <c r="B203" s="168"/>
      <c r="C203" s="169"/>
      <c r="D203" s="169"/>
      <c r="E203" s="170"/>
      <c r="F203" s="58" t="str">
        <f>IF($N$184="","",IF($N$184="INDUSTRIAL",IF(OR($D$182="",$D$188=""),"",IF(OR(D203&gt;$D$189,E203&gt;$D$190),"Rev. Total. abona.",IF(D203="",IF(E203="","",E203/(0.92*1000)),IF(OR($D$182="SAN CRISTOBAL",$D$182="FLOREANA"),VLOOKUP(D203,'Estratos SCY - FLO'!$A$4:$M$108,IF($D$188="A1",2,IF($D$188="A",5,IF($D$188="B",8,11))))+E203/(0.92*1000),VLOOKUP(D203,'Estratos SCX - ISA'!$A$3:$M$107,IF($D$188="A1",2,IF($D$188="A",5,IF($D$188="B",8,11))))+E203/(0.92*1000))))),IF(OR($D$182="",$D$188=""),"",IF(OR(D203&gt;$D$189,E203&gt;$D$190),"Rev. Total. abona.",IF(D203="",IF(E203="","",E203/(0.92*1000)),IF(OR($D$182="SAN CRISTOBAL",$D$182="FLOREANA"),VLOOKUP(D203,'Estratos SCY - FLO'!$O$4:$S$108,IF($D$188="A1",2,IF($D$188="A",3,IF($D$188="B",4,5))))+E203/(0.92*1000),VLOOKUP(D203,'Estratos SCX - ISA'!$O$4:$S$108,IF($D$188="A1",2,IF($D$188="A",3,IF($D$188="B",4,5))))+E203/(0.92*1000)))))))</f>
        <v/>
      </c>
      <c r="G203" s="59" t="str">
        <f t="shared" si="28"/>
        <v/>
      </c>
      <c r="H203" s="183"/>
      <c r="I203" s="183"/>
      <c r="J203" s="59" t="str">
        <f>IF(OR(H203="",$D$10="",$N$10=""),"",IF($D$10="COBRE",VLOOKUP(CDV_PROY_BT!H203,FDV!$B$16:$E$24,IF(CDV_PROY_BT!$N$10="3F",3,4),FALSE),IF($D$10="ACS",VLOOKUP(CDV_PROY_BT!H203,FDV!$B$10:$E$15,IF(CDV_PROY_BT!$N$10="3F",3,4),FALSE),IF($D$10="5005 (PREENSAMBLADO)",VLOOKUP(CDV_PROY_BT!H203,FDV!$B$4:$E$9,IF(CDV_PROY_BT!$N$10="3F",3,4),FALSE),VLOOKUP(CDV_PROY_BT!H203,FDV!$B$25:$E$30,IF(CDV_PROY_BT!$N$10="3F",3,4),FALSE)))))</f>
        <v/>
      </c>
      <c r="K203" s="63" t="str">
        <f t="shared" si="27"/>
        <v/>
      </c>
      <c r="L203" s="62" t="str">
        <f t="shared" si="29"/>
        <v/>
      </c>
      <c r="M203" s="62" t="str">
        <f t="shared" si="30"/>
        <v/>
      </c>
      <c r="N203" s="155"/>
      <c r="U203" s="138">
        <f t="shared" si="31"/>
        <v>0</v>
      </c>
      <c r="V203" s="138">
        <f t="shared" si="32"/>
        <v>0</v>
      </c>
    </row>
    <row r="204" spans="1:22" ht="15" hidden="1">
      <c r="A204" s="167"/>
      <c r="B204" s="168"/>
      <c r="C204" s="169"/>
      <c r="D204" s="169"/>
      <c r="E204" s="170"/>
      <c r="F204" s="58" t="str">
        <f>IF($N$184="","",IF($N$184="INDUSTRIAL",IF(OR($D$182="",$D$188=""),"",IF(OR(D204&gt;$D$189,E204&gt;$D$190),"Rev. Total. abona.",IF(D204="",IF(E204="","",E204/(0.92*1000)),IF(OR($D$182="SAN CRISTOBAL",$D$182="FLOREANA"),VLOOKUP(D204,'Estratos SCY - FLO'!$A$4:$M$108,IF($D$188="A1",2,IF($D$188="A",5,IF($D$188="B",8,11))))+E204/(0.92*1000),VLOOKUP(D204,'Estratos SCX - ISA'!$A$3:$M$107,IF($D$188="A1",2,IF($D$188="A",5,IF($D$188="B",8,11))))+E204/(0.92*1000))))),IF(OR($D$182="",$D$188=""),"",IF(OR(D204&gt;$D$189,E204&gt;$D$190),"Rev. Total. abona.",IF(D204="",IF(E204="","",E204/(0.92*1000)),IF(OR($D$182="SAN CRISTOBAL",$D$182="FLOREANA"),VLOOKUP(D204,'Estratos SCY - FLO'!$O$4:$S$108,IF($D$188="A1",2,IF($D$188="A",3,IF($D$188="B",4,5))))+E204/(0.92*1000),VLOOKUP(D204,'Estratos SCX - ISA'!$O$4:$S$108,IF($D$188="A1",2,IF($D$188="A",3,IF($D$188="B",4,5))))+E204/(0.92*1000)))))))</f>
        <v/>
      </c>
      <c r="G204" s="59" t="str">
        <f t="shared" si="28"/>
        <v/>
      </c>
      <c r="H204" s="183"/>
      <c r="I204" s="183"/>
      <c r="J204" s="59" t="str">
        <f>IF(OR(H204="",$D$10="",$N$10=""),"",IF($D$10="COBRE",VLOOKUP(CDV_PROY_BT!H204,FDV!$B$16:$E$24,IF(CDV_PROY_BT!$N$10="3F",3,4),FALSE),IF($D$10="ACS",VLOOKUP(CDV_PROY_BT!H204,FDV!$B$10:$E$15,IF(CDV_PROY_BT!$N$10="3F",3,4),FALSE),IF($D$10="5005 (PREENSAMBLADO)",VLOOKUP(CDV_PROY_BT!H204,FDV!$B$4:$E$9,IF(CDV_PROY_BT!$N$10="3F",3,4),FALSE),VLOOKUP(CDV_PROY_BT!H204,FDV!$B$25:$E$30,IF(CDV_PROY_BT!$N$10="3F",3,4),FALSE)))))</f>
        <v/>
      </c>
      <c r="K204" s="63" t="str">
        <f t="shared" si="27"/>
        <v/>
      </c>
      <c r="L204" s="62" t="str">
        <f t="shared" si="29"/>
        <v/>
      </c>
      <c r="M204" s="62" t="str">
        <f t="shared" si="30"/>
        <v/>
      </c>
      <c r="N204" s="155"/>
      <c r="U204" s="138">
        <f t="shared" si="31"/>
        <v>0</v>
      </c>
      <c r="V204" s="138">
        <f t="shared" si="32"/>
        <v>0</v>
      </c>
    </row>
    <row r="205" spans="1:22" ht="15" hidden="1">
      <c r="A205" s="167"/>
      <c r="B205" s="168"/>
      <c r="C205" s="169"/>
      <c r="D205" s="169"/>
      <c r="E205" s="170"/>
      <c r="F205" s="58" t="str">
        <f>IF($N$184="","",IF($N$184="INDUSTRIAL",IF(OR($D$182="",$D$188=""),"",IF(OR(D205&gt;$D$189,E205&gt;$D$190),"Rev. Total. abona.",IF(D205="",IF(E205="","",E205/(0.92*1000)),IF(OR($D$182="SAN CRISTOBAL",$D$182="FLOREANA"),VLOOKUP(D205,'Estratos SCY - FLO'!$A$4:$M$108,IF($D$188="A1",2,IF($D$188="A",5,IF($D$188="B",8,11))))+E205/(0.92*1000),VLOOKUP(D205,'Estratos SCX - ISA'!$A$3:$M$107,IF($D$188="A1",2,IF($D$188="A",5,IF($D$188="B",8,11))))+E205/(0.92*1000))))),IF(OR($D$182="",$D$188=""),"",IF(OR(D205&gt;$D$189,E205&gt;$D$190),"Rev. Total. abona.",IF(D205="",IF(E205="","",E205/(0.92*1000)),IF(OR($D$182="SAN CRISTOBAL",$D$182="FLOREANA"),VLOOKUP(D205,'Estratos SCY - FLO'!$O$4:$S$108,IF($D$188="A1",2,IF($D$188="A",3,IF($D$188="B",4,5))))+E205/(0.92*1000),VLOOKUP(D205,'Estratos SCX - ISA'!$O$4:$S$108,IF($D$188="A1",2,IF($D$188="A",3,IF($D$188="B",4,5))))+E205/(0.92*1000)))))))</f>
        <v/>
      </c>
      <c r="G205" s="59" t="str">
        <f t="shared" si="28"/>
        <v/>
      </c>
      <c r="H205" s="183"/>
      <c r="I205" s="183"/>
      <c r="J205" s="59" t="str">
        <f>IF(OR(H205="",$D$10="",$N$10=""),"",IF($D$10="COBRE",VLOOKUP(CDV_PROY_BT!H205,FDV!$B$16:$E$24,IF(CDV_PROY_BT!$N$10="3F",3,4),FALSE),IF($D$10="ACS",VLOOKUP(CDV_PROY_BT!H205,FDV!$B$10:$E$15,IF(CDV_PROY_BT!$N$10="3F",3,4),FALSE),IF($D$10="5005 (PREENSAMBLADO)",VLOOKUP(CDV_PROY_BT!H205,FDV!$B$4:$E$9,IF(CDV_PROY_BT!$N$10="3F",3,4),FALSE),VLOOKUP(CDV_PROY_BT!H205,FDV!$B$25:$E$30,IF(CDV_PROY_BT!$N$10="3F",3,4),FALSE)))))</f>
        <v/>
      </c>
      <c r="K205" s="63" t="str">
        <f t="shared" si="27"/>
        <v/>
      </c>
      <c r="L205" s="62" t="str">
        <f t="shared" si="29"/>
        <v/>
      </c>
      <c r="M205" s="62" t="str">
        <f t="shared" si="30"/>
        <v/>
      </c>
      <c r="N205" s="155"/>
      <c r="U205" s="138">
        <f t="shared" si="31"/>
        <v>0</v>
      </c>
      <c r="V205" s="138">
        <f t="shared" si="32"/>
        <v>0</v>
      </c>
    </row>
    <row r="206" spans="1:22" ht="15" hidden="1">
      <c r="A206" s="167"/>
      <c r="B206" s="168"/>
      <c r="C206" s="169"/>
      <c r="D206" s="169"/>
      <c r="E206" s="170"/>
      <c r="F206" s="58" t="str">
        <f>IF($N$184="","",IF($N$184="INDUSTRIAL",IF(OR($D$182="",$D$188=""),"",IF(OR(D206&gt;$D$189,E206&gt;$D$190),"Rev. Total. abona.",IF(D206="",IF(E206="","",E206/(0.92*1000)),IF(OR($D$182="SAN CRISTOBAL",$D$182="FLOREANA"),VLOOKUP(D206,'Estratos SCY - FLO'!$A$4:$M$108,IF($D$188="A1",2,IF($D$188="A",5,IF($D$188="B",8,11))))+E206/(0.92*1000),VLOOKUP(D206,'Estratos SCX - ISA'!$A$3:$M$107,IF($D$188="A1",2,IF($D$188="A",5,IF($D$188="B",8,11))))+E206/(0.92*1000))))),IF(OR($D$182="",$D$188=""),"",IF(OR(D206&gt;$D$189,E206&gt;$D$190),"Rev. Total. abona.",IF(D206="",IF(E206="","",E206/(0.92*1000)),IF(OR($D$182="SAN CRISTOBAL",$D$182="FLOREANA"),VLOOKUP(D206,'Estratos SCY - FLO'!$O$4:$S$108,IF($D$188="A1",2,IF($D$188="A",3,IF($D$188="B",4,5))))+E206/(0.92*1000),VLOOKUP(D206,'Estratos SCX - ISA'!$O$4:$S$108,IF($D$188="A1",2,IF($D$188="A",3,IF($D$188="B",4,5))))+E206/(0.92*1000)))))))</f>
        <v/>
      </c>
      <c r="G206" s="59" t="str">
        <f t="shared" si="28"/>
        <v/>
      </c>
      <c r="H206" s="183"/>
      <c r="I206" s="183"/>
      <c r="J206" s="59" t="str">
        <f>IF(OR(H206="",$D$10="",$N$10=""),"",IF($D$10="COBRE",VLOOKUP(CDV_PROY_BT!H206,FDV!$B$16:$E$24,IF(CDV_PROY_BT!$N$10="3F",3,4),FALSE),IF($D$10="ACS",VLOOKUP(CDV_PROY_BT!H206,FDV!$B$10:$E$15,IF(CDV_PROY_BT!$N$10="3F",3,4),FALSE),IF($D$10="5005 (PREENSAMBLADO)",VLOOKUP(CDV_PROY_BT!H206,FDV!$B$4:$E$9,IF(CDV_PROY_BT!$N$10="3F",3,4),FALSE),VLOOKUP(CDV_PROY_BT!H206,FDV!$B$25:$E$30,IF(CDV_PROY_BT!$N$10="3F",3,4),FALSE)))))</f>
        <v/>
      </c>
      <c r="K206" s="63" t="str">
        <f t="shared" si="27"/>
        <v/>
      </c>
      <c r="L206" s="62" t="str">
        <f t="shared" si="29"/>
        <v/>
      </c>
      <c r="M206" s="62" t="str">
        <f t="shared" si="30"/>
        <v/>
      </c>
      <c r="N206" s="155"/>
      <c r="U206" s="138">
        <f t="shared" si="31"/>
        <v>0</v>
      </c>
      <c r="V206" s="138">
        <f t="shared" si="32"/>
        <v>0</v>
      </c>
    </row>
    <row r="207" spans="1:22" ht="15" hidden="1">
      <c r="A207" s="171"/>
      <c r="B207" s="172"/>
      <c r="C207" s="173"/>
      <c r="D207" s="173"/>
      <c r="E207" s="170"/>
      <c r="F207" s="58" t="str">
        <f>IF($N$184="","",IF($N$184="INDUSTRIAL",IF(OR($D$182="",$D$188=""),"",IF(OR(D207&gt;$D$189,E207&gt;$D$190),"Rev. Total. abona.",IF(D207="",IF(E207="","",E207/(0.92*1000)),IF(OR($D$182="SAN CRISTOBAL",$D$182="FLOREANA"),VLOOKUP(D207,'Estratos SCY - FLO'!$A$4:$M$108,IF($D$188="A1",2,IF($D$188="A",5,IF($D$188="B",8,11))))+E207/(0.92*1000),VLOOKUP(D207,'Estratos SCX - ISA'!$A$3:$M$107,IF($D$188="A1",2,IF($D$188="A",5,IF($D$188="B",8,11))))+E207/(0.92*1000))))),IF(OR($D$182="",$D$188=""),"",IF(OR(D207&gt;$D$189,E207&gt;$D$190),"Rev. Total. abona.",IF(D207="",IF(E207="","",E207/(0.92*1000)),IF(OR($D$182="SAN CRISTOBAL",$D$182="FLOREANA"),VLOOKUP(D207,'Estratos SCY - FLO'!$O$4:$S$108,IF($D$188="A1",2,IF($D$188="A",3,IF($D$188="B",4,5))))+E207/(0.92*1000),VLOOKUP(D207,'Estratos SCX - ISA'!$O$4:$S$108,IF($D$188="A1",2,IF($D$188="A",3,IF($D$188="B",4,5))))+E207/(0.92*1000)))))))</f>
        <v/>
      </c>
      <c r="G207" s="59" t="str">
        <f t="shared" si="28"/>
        <v/>
      </c>
      <c r="H207" s="183"/>
      <c r="I207" s="183"/>
      <c r="J207" s="59" t="str">
        <f>IF(OR(H207="",$D$10="",$N$10=""),"",IF($D$10="COBRE",VLOOKUP(CDV_PROY_BT!H207,FDV!$B$16:$E$24,IF(CDV_PROY_BT!$N$10="3F",3,4),FALSE),IF($D$10="ACS",VLOOKUP(CDV_PROY_BT!H207,FDV!$B$10:$E$15,IF(CDV_PROY_BT!$N$10="3F",3,4),FALSE),IF($D$10="5005 (PREENSAMBLADO)",VLOOKUP(CDV_PROY_BT!H207,FDV!$B$4:$E$9,IF(CDV_PROY_BT!$N$10="3F",3,4),FALSE),VLOOKUP(CDV_PROY_BT!H207,FDV!$B$25:$E$30,IF(CDV_PROY_BT!$N$10="3F",3,4),FALSE)))))</f>
        <v/>
      </c>
      <c r="K207" s="63" t="str">
        <f t="shared" si="27"/>
        <v/>
      </c>
      <c r="L207" s="62" t="str">
        <f t="shared" si="29"/>
        <v/>
      </c>
      <c r="M207" s="62" t="str">
        <f t="shared" si="30"/>
        <v/>
      </c>
      <c r="N207" s="155"/>
      <c r="U207" s="138">
        <f t="shared" si="31"/>
        <v>0</v>
      </c>
      <c r="V207" s="138">
        <f t="shared" si="32"/>
        <v>0</v>
      </c>
    </row>
    <row r="208" spans="1:22" ht="15" hidden="1">
      <c r="A208" s="167"/>
      <c r="B208" s="168"/>
      <c r="C208" s="169"/>
      <c r="D208" s="169"/>
      <c r="E208" s="174"/>
      <c r="F208" s="58" t="str">
        <f>IF($N$184="","",IF($N$184="INDUSTRIAL",IF(OR($D$182="",$D$188=""),"",IF(OR(D208&gt;$D$189,E208&gt;$D$190),"Rev. Total. abona.",IF(D208="",IF(E208="","",E208/(0.92*1000)),IF(OR($D$182="SAN CRISTOBAL",$D$182="FLOREANA"),VLOOKUP(D208,'Estratos SCY - FLO'!$A$4:$M$108,IF($D$188="A1",2,IF($D$188="A",5,IF($D$188="B",8,11))))+E208/(0.92*1000),VLOOKUP(D208,'Estratos SCX - ISA'!$A$3:$M$107,IF($D$188="A1",2,IF($D$188="A",5,IF($D$188="B",8,11))))+E208/(0.92*1000))))),IF(OR($D$182="",$D$188=""),"",IF(OR(D208&gt;$D$189,E208&gt;$D$190),"Rev. Total. abona.",IF(D208="",IF(E208="","",E208/(0.92*1000)),IF(OR($D$182="SAN CRISTOBAL",$D$182="FLOREANA"),VLOOKUP(D208,'Estratos SCY - FLO'!$O$4:$S$108,IF($D$188="A1",2,IF($D$188="A",3,IF($D$188="B",4,5))))+E208/(0.92*1000),VLOOKUP(D208,'Estratos SCX - ISA'!$O$4:$S$108,IF($D$188="A1",2,IF($D$188="A",3,IF($D$188="B",4,5))))+E208/(0.92*1000)))))))</f>
        <v/>
      </c>
      <c r="G208" s="59" t="str">
        <f t="shared" si="28"/>
        <v/>
      </c>
      <c r="H208" s="183"/>
      <c r="I208" s="183"/>
      <c r="J208" s="59" t="str">
        <f>IF(OR(H208="",$D$10="",$N$10=""),"",IF($D$10="COBRE",VLOOKUP(CDV_PROY_BT!H208,FDV!$B$16:$E$24,IF(CDV_PROY_BT!$N$10="3F",3,4),FALSE),IF($D$10="ACS",VLOOKUP(CDV_PROY_BT!H208,FDV!$B$10:$E$15,IF(CDV_PROY_BT!$N$10="3F",3,4),FALSE),IF($D$10="5005 (PREENSAMBLADO)",VLOOKUP(CDV_PROY_BT!H208,FDV!$B$4:$E$9,IF(CDV_PROY_BT!$N$10="3F",3,4),FALSE),VLOOKUP(CDV_PROY_BT!H208,FDV!$B$25:$E$30,IF(CDV_PROY_BT!$N$10="3F",3,4),FALSE)))))</f>
        <v/>
      </c>
      <c r="K208" s="63" t="str">
        <f t="shared" si="27"/>
        <v/>
      </c>
      <c r="L208" s="62" t="str">
        <f t="shared" si="29"/>
        <v/>
      </c>
      <c r="M208" s="62" t="str">
        <f t="shared" si="30"/>
        <v/>
      </c>
      <c r="N208" s="155"/>
      <c r="U208" s="138">
        <f t="shared" si="31"/>
        <v>0</v>
      </c>
      <c r="V208" s="138">
        <f t="shared" si="32"/>
        <v>0</v>
      </c>
    </row>
    <row r="209" spans="1:22" ht="15" hidden="1">
      <c r="A209" s="175"/>
      <c r="B209" s="176"/>
      <c r="C209" s="177"/>
      <c r="D209" s="177"/>
      <c r="E209" s="170"/>
      <c r="F209" s="58" t="str">
        <f>IF($N$184="","",IF($N$184="INDUSTRIAL",IF(OR($D$182="",$D$188=""),"",IF(OR(D209&gt;$D$189,E209&gt;$D$190),"Rev. Total. abona.",IF(D209="",IF(E209="","",E209/(0.92*1000)),IF(OR($D$182="SAN CRISTOBAL",$D$182="FLOREANA"),VLOOKUP(D209,'Estratos SCY - FLO'!$A$4:$M$108,IF($D$188="A1",2,IF($D$188="A",5,IF($D$188="B",8,11))))+E209/(0.92*1000),VLOOKUP(D209,'Estratos SCX - ISA'!$A$3:$M$107,IF($D$188="A1",2,IF($D$188="A",5,IF($D$188="B",8,11))))+E209/(0.92*1000))))),IF(OR($D$182="",$D$188=""),"",IF(OR(D209&gt;$D$189,E209&gt;$D$190),"Rev. Total. abona.",IF(D209="",IF(E209="","",E209/(0.92*1000)),IF(OR($D$182="SAN CRISTOBAL",$D$182="FLOREANA"),VLOOKUP(D209,'Estratos SCY - FLO'!$O$4:$S$108,IF($D$188="A1",2,IF($D$188="A",3,IF($D$188="B",4,5))))+E209/(0.92*1000),VLOOKUP(D209,'Estratos SCX - ISA'!$O$4:$S$108,IF($D$188="A1",2,IF($D$188="A",3,IF($D$188="B",4,5))))+E209/(0.92*1000)))))))</f>
        <v/>
      </c>
      <c r="G209" s="59" t="str">
        <f t="shared" si="28"/>
        <v/>
      </c>
      <c r="H209" s="183"/>
      <c r="I209" s="183"/>
      <c r="J209" s="59" t="str">
        <f>IF(OR(H209="",$D$10="",$N$10=""),"",IF($D$10="COBRE",VLOOKUP(CDV_PROY_BT!H209,FDV!$B$16:$E$24,IF(CDV_PROY_BT!$N$10="3F",3,4),FALSE),IF($D$10="ACS",VLOOKUP(CDV_PROY_BT!H209,FDV!$B$10:$E$15,IF(CDV_PROY_BT!$N$10="3F",3,4),FALSE),IF($D$10="5005 (PREENSAMBLADO)",VLOOKUP(CDV_PROY_BT!H209,FDV!$B$4:$E$9,IF(CDV_PROY_BT!$N$10="3F",3,4),FALSE),VLOOKUP(CDV_PROY_BT!H209,FDV!$B$25:$E$30,IF(CDV_PROY_BT!$N$10="3F",3,4),FALSE)))))</f>
        <v/>
      </c>
      <c r="K209" s="63" t="str">
        <f t="shared" si="27"/>
        <v/>
      </c>
      <c r="L209" s="62" t="str">
        <f t="shared" si="29"/>
        <v/>
      </c>
      <c r="M209" s="62" t="str">
        <f t="shared" si="30"/>
        <v/>
      </c>
      <c r="N209" s="155"/>
      <c r="U209" s="138">
        <f t="shared" si="31"/>
        <v>0</v>
      </c>
      <c r="V209" s="138">
        <f t="shared" si="32"/>
        <v>0</v>
      </c>
    </row>
    <row r="210" spans="1:22" ht="15" hidden="1">
      <c r="A210" s="167"/>
      <c r="B210" s="168"/>
      <c r="C210" s="169"/>
      <c r="D210" s="169"/>
      <c r="E210" s="170"/>
      <c r="F210" s="58" t="str">
        <f>IF($N$184="","",IF($N$184="INDUSTRIAL",IF(OR($D$182="",$D$188=""),"",IF(OR(D210&gt;$D$189,E210&gt;$D$190),"Rev. Total. abona.",IF(D210="",IF(E210="","",E210/(0.92*1000)),IF(OR($D$182="SAN CRISTOBAL",$D$182="FLOREANA"),VLOOKUP(D210,'Estratos SCY - FLO'!$A$4:$M$108,IF($D$188="A1",2,IF($D$188="A",5,IF($D$188="B",8,11))))+E210/(0.92*1000),VLOOKUP(D210,'Estratos SCX - ISA'!$A$3:$M$107,IF($D$188="A1",2,IF($D$188="A",5,IF($D$188="B",8,11))))+E210/(0.92*1000))))),IF(OR($D$182="",$D$188=""),"",IF(OR(D210&gt;$D$189,E210&gt;$D$190),"Rev. Total. abona.",IF(D210="",IF(E210="","",E210/(0.92*1000)),IF(OR($D$182="SAN CRISTOBAL",$D$182="FLOREANA"),VLOOKUP(D210,'Estratos SCY - FLO'!$O$4:$S$108,IF($D$188="A1",2,IF($D$188="A",3,IF($D$188="B",4,5))))+E210/(0.92*1000),VLOOKUP(D210,'Estratos SCX - ISA'!$O$4:$S$108,IF($D$188="A1",2,IF($D$188="A",3,IF($D$188="B",4,5))))+E210/(0.92*1000)))))))</f>
        <v/>
      </c>
      <c r="G210" s="59" t="str">
        <f t="shared" si="28"/>
        <v/>
      </c>
      <c r="H210" s="183"/>
      <c r="I210" s="183"/>
      <c r="J210" s="59" t="str">
        <f>IF(OR(H210="",$D$10="",$N$10=""),"",IF($D$10="COBRE",VLOOKUP(CDV_PROY_BT!H210,FDV!$B$16:$E$24,IF(CDV_PROY_BT!$N$10="3F",3,4),FALSE),IF($D$10="ACS",VLOOKUP(CDV_PROY_BT!H210,FDV!$B$10:$E$15,IF(CDV_PROY_BT!$N$10="3F",3,4),FALSE),IF($D$10="5005 (PREENSAMBLADO)",VLOOKUP(CDV_PROY_BT!H210,FDV!$B$4:$E$9,IF(CDV_PROY_BT!$N$10="3F",3,4),FALSE),VLOOKUP(CDV_PROY_BT!H210,FDV!$B$25:$E$30,IF(CDV_PROY_BT!$N$10="3F",3,4),FALSE)))))</f>
        <v/>
      </c>
      <c r="K210" s="63" t="str">
        <f t="shared" si="27"/>
        <v/>
      </c>
      <c r="L210" s="62" t="str">
        <f t="shared" si="29"/>
        <v/>
      </c>
      <c r="M210" s="62" t="str">
        <f t="shared" si="30"/>
        <v/>
      </c>
      <c r="N210" s="155"/>
      <c r="U210" s="138">
        <f t="shared" si="31"/>
        <v>0</v>
      </c>
      <c r="V210" s="138">
        <f t="shared" si="32"/>
        <v>0</v>
      </c>
    </row>
    <row r="211" spans="1:22" ht="15" hidden="1">
      <c r="A211" s="167"/>
      <c r="B211" s="168"/>
      <c r="C211" s="169"/>
      <c r="D211" s="169"/>
      <c r="E211" s="170"/>
      <c r="F211" s="58" t="str">
        <f>IF($N$184="","",IF($N$184="INDUSTRIAL",IF(OR($D$182="",$D$188=""),"",IF(OR(D211&gt;$D$189,E211&gt;$D$190),"Rev. Total. abona.",IF(D211="",IF(E211="","",E211/(0.92*1000)),IF(OR($D$182="SAN CRISTOBAL",$D$182="FLOREANA"),VLOOKUP(D211,'Estratos SCY - FLO'!$A$4:$M$108,IF($D$188="A1",2,IF($D$188="A",5,IF($D$188="B",8,11))))+E211/(0.92*1000),VLOOKUP(D211,'Estratos SCX - ISA'!$A$3:$M$107,IF($D$188="A1",2,IF($D$188="A",5,IF($D$188="B",8,11))))+E211/(0.92*1000))))),IF(OR($D$182="",$D$188=""),"",IF(OR(D211&gt;$D$189,E211&gt;$D$190),"Rev. Total. abona.",IF(D211="",IF(E211="","",E211/(0.92*1000)),IF(OR($D$182="SAN CRISTOBAL",$D$182="FLOREANA"),VLOOKUP(D211,'Estratos SCY - FLO'!$O$4:$S$108,IF($D$188="A1",2,IF($D$188="A",3,IF($D$188="B",4,5))))+E211/(0.92*1000),VLOOKUP(D211,'Estratos SCX - ISA'!$O$4:$S$108,IF($D$188="A1",2,IF($D$188="A",3,IF($D$188="B",4,5))))+E211/(0.92*1000)))))))</f>
        <v/>
      </c>
      <c r="G211" s="59" t="str">
        <f t="shared" si="28"/>
        <v/>
      </c>
      <c r="H211" s="183"/>
      <c r="I211" s="183"/>
      <c r="J211" s="59" t="str">
        <f>IF(OR(H211="",$D$10="",$N$10=""),"",IF($D$10="COBRE",VLOOKUP(CDV_PROY_BT!H211,FDV!$B$16:$E$24,IF(CDV_PROY_BT!$N$10="3F",3,4),FALSE),IF($D$10="ACS",VLOOKUP(CDV_PROY_BT!H211,FDV!$B$10:$E$15,IF(CDV_PROY_BT!$N$10="3F",3,4),FALSE),IF($D$10="5005 (PREENSAMBLADO)",VLOOKUP(CDV_PROY_BT!H211,FDV!$B$4:$E$9,IF(CDV_PROY_BT!$N$10="3F",3,4),FALSE),VLOOKUP(CDV_PROY_BT!H211,FDV!$B$25:$E$30,IF(CDV_PROY_BT!$N$10="3F",3,4),FALSE)))))</f>
        <v/>
      </c>
      <c r="K211" s="63" t="str">
        <f t="shared" si="27"/>
        <v/>
      </c>
      <c r="L211" s="62" t="str">
        <f t="shared" si="29"/>
        <v/>
      </c>
      <c r="M211" s="62" t="str">
        <f t="shared" si="30"/>
        <v/>
      </c>
      <c r="N211" s="155"/>
      <c r="U211" s="138">
        <f t="shared" si="31"/>
        <v>0</v>
      </c>
      <c r="V211" s="138">
        <f t="shared" si="32"/>
        <v>0</v>
      </c>
    </row>
    <row r="212" spans="1:22" ht="15" hidden="1">
      <c r="A212" s="167"/>
      <c r="B212" s="168"/>
      <c r="C212" s="169"/>
      <c r="D212" s="169"/>
      <c r="E212" s="170"/>
      <c r="F212" s="58" t="str">
        <f>IF($N$184="","",IF($N$184="INDUSTRIAL",IF(OR($D$182="",$D$188=""),"",IF(OR(D212&gt;$D$189,E212&gt;$D$190),"Rev. Total. abona.",IF(D212="",IF(E212="","",E212/(0.92*1000)),IF(OR($D$182="SAN CRISTOBAL",$D$182="FLOREANA"),VLOOKUP(D212,'Estratos SCY - FLO'!$A$4:$M$108,IF($D$188="A1",2,IF($D$188="A",5,IF($D$188="B",8,11))))+E212/(0.92*1000),VLOOKUP(D212,'Estratos SCX - ISA'!$A$3:$M$107,IF($D$188="A1",2,IF($D$188="A",5,IF($D$188="B",8,11))))+E212/(0.92*1000))))),IF(OR($D$182="",$D$188=""),"",IF(OR(D212&gt;$D$189,E212&gt;$D$190),"Rev. Total. abona.",IF(D212="",IF(E212="","",E212/(0.92*1000)),IF(OR($D$182="SAN CRISTOBAL",$D$182="FLOREANA"),VLOOKUP(D212,'Estratos SCY - FLO'!$O$4:$S$108,IF($D$188="A1",2,IF($D$188="A",3,IF($D$188="B",4,5))))+E212/(0.92*1000),VLOOKUP(D212,'Estratos SCX - ISA'!$O$4:$S$108,IF($D$188="A1",2,IF($D$188="A",3,IF($D$188="B",4,5))))+E212/(0.92*1000)))))))</f>
        <v/>
      </c>
      <c r="G212" s="59" t="str">
        <f t="shared" si="28"/>
        <v/>
      </c>
      <c r="H212" s="183"/>
      <c r="I212" s="183"/>
      <c r="J212" s="59" t="str">
        <f>IF(OR(H212="",$D$10="",$N$10=""),"",IF($D$10="COBRE",VLOOKUP(CDV_PROY_BT!H212,FDV!$B$16:$E$24,IF(CDV_PROY_BT!$N$10="3F",3,4),FALSE),IF($D$10="ACS",VLOOKUP(CDV_PROY_BT!H212,FDV!$B$10:$E$15,IF(CDV_PROY_BT!$N$10="3F",3,4),FALSE),IF($D$10="5005 (PREENSAMBLADO)",VLOOKUP(CDV_PROY_BT!H212,FDV!$B$4:$E$9,IF(CDV_PROY_BT!$N$10="3F",3,4),FALSE),VLOOKUP(CDV_PROY_BT!H212,FDV!$B$25:$E$30,IF(CDV_PROY_BT!$N$10="3F",3,4),FALSE)))))</f>
        <v/>
      </c>
      <c r="K212" s="63" t="str">
        <f t="shared" si="27"/>
        <v/>
      </c>
      <c r="L212" s="62" t="str">
        <f t="shared" si="29"/>
        <v/>
      </c>
      <c r="M212" s="62" t="str">
        <f t="shared" si="30"/>
        <v/>
      </c>
      <c r="N212" s="155"/>
      <c r="U212" s="138">
        <f t="shared" si="31"/>
        <v>0</v>
      </c>
      <c r="V212" s="138">
        <f t="shared" si="32"/>
        <v>0</v>
      </c>
    </row>
    <row r="213" spans="1:22" ht="15" hidden="1">
      <c r="A213" s="167"/>
      <c r="B213" s="168"/>
      <c r="C213" s="169"/>
      <c r="D213" s="169"/>
      <c r="E213" s="170"/>
      <c r="F213" s="58" t="str">
        <f>IF($N$184="","",IF($N$184="INDUSTRIAL",IF(OR($D$182="",$D$188=""),"",IF(OR(D213&gt;$D$189,E213&gt;$D$190),"Rev. Total. abona.",IF(D213="",IF(E213="","",E213/(0.92*1000)),IF(OR($D$182="SAN CRISTOBAL",$D$182="FLOREANA"),VLOOKUP(D213,'Estratos SCY - FLO'!$A$4:$M$108,IF($D$188="A1",2,IF($D$188="A",5,IF($D$188="B",8,11))))+E213/(0.92*1000),VLOOKUP(D213,'Estratos SCX - ISA'!$A$3:$M$107,IF($D$188="A1",2,IF($D$188="A",5,IF($D$188="B",8,11))))+E213/(0.92*1000))))),IF(OR($D$182="",$D$188=""),"",IF(OR(D213&gt;$D$189,E213&gt;$D$190),"Rev. Total. abona.",IF(D213="",IF(E213="","",E213/(0.92*1000)),IF(OR($D$182="SAN CRISTOBAL",$D$182="FLOREANA"),VLOOKUP(D213,'Estratos SCY - FLO'!$O$4:$S$108,IF($D$188="A1",2,IF($D$188="A",3,IF($D$188="B",4,5))))+E213/(0.92*1000),VLOOKUP(D213,'Estratos SCX - ISA'!$O$4:$S$108,IF($D$188="A1",2,IF($D$188="A",3,IF($D$188="B",4,5))))+E213/(0.92*1000)))))))</f>
        <v/>
      </c>
      <c r="G213" s="59" t="str">
        <f t="shared" si="28"/>
        <v/>
      </c>
      <c r="H213" s="183"/>
      <c r="I213" s="183"/>
      <c r="J213" s="59" t="str">
        <f>IF(OR(H213="",$D$10="",$N$10=""),"",IF($D$10="COBRE",VLOOKUP(CDV_PROY_BT!H213,FDV!$B$16:$E$24,IF(CDV_PROY_BT!$N$10="3F",3,4),FALSE),IF($D$10="ACS",VLOOKUP(CDV_PROY_BT!H213,FDV!$B$10:$E$15,IF(CDV_PROY_BT!$N$10="3F",3,4),FALSE),IF($D$10="5005 (PREENSAMBLADO)",VLOOKUP(CDV_PROY_BT!H213,FDV!$B$4:$E$9,IF(CDV_PROY_BT!$N$10="3F",3,4),FALSE),VLOOKUP(CDV_PROY_BT!H213,FDV!$B$25:$E$30,IF(CDV_PROY_BT!$N$10="3F",3,4),FALSE)))))</f>
        <v/>
      </c>
      <c r="K213" s="63" t="str">
        <f t="shared" si="27"/>
        <v/>
      </c>
      <c r="L213" s="62" t="str">
        <f t="shared" si="29"/>
        <v/>
      </c>
      <c r="M213" s="62" t="str">
        <f t="shared" si="30"/>
        <v/>
      </c>
      <c r="N213" s="155"/>
      <c r="U213" s="138">
        <f t="shared" si="31"/>
        <v>0</v>
      </c>
      <c r="V213" s="138">
        <f t="shared" si="32"/>
        <v>0</v>
      </c>
    </row>
    <row r="214" spans="1:22" ht="15" hidden="1">
      <c r="A214" s="167"/>
      <c r="B214" s="168"/>
      <c r="C214" s="169"/>
      <c r="D214" s="169"/>
      <c r="E214" s="170"/>
      <c r="F214" s="58" t="str">
        <f>IF($N$184="","",IF($N$184="INDUSTRIAL",IF(OR($D$182="",$D$188=""),"",IF(OR(D214&gt;$D$189,E214&gt;$D$190),"Rev. Total. abona.",IF(D214="",IF(E214="","",E214/(0.92*1000)),IF(OR($D$182="SAN CRISTOBAL",$D$182="FLOREANA"),VLOOKUP(D214,'Estratos SCY - FLO'!$A$4:$M$108,IF($D$188="A1",2,IF($D$188="A",5,IF($D$188="B",8,11))))+E214/(0.92*1000),VLOOKUP(D214,'Estratos SCX - ISA'!$A$3:$M$107,IF($D$188="A1",2,IF($D$188="A",5,IF($D$188="B",8,11))))+E214/(0.92*1000))))),IF(OR($D$182="",$D$188=""),"",IF(OR(D214&gt;$D$189,E214&gt;$D$190),"Rev. Total. abona.",IF(D214="",IF(E214="","",E214/(0.92*1000)),IF(OR($D$182="SAN CRISTOBAL",$D$182="FLOREANA"),VLOOKUP(D214,'Estratos SCY - FLO'!$O$4:$S$108,IF($D$188="A1",2,IF($D$188="A",3,IF($D$188="B",4,5))))+E214/(0.92*1000),VLOOKUP(D214,'Estratos SCX - ISA'!$O$4:$S$108,IF($D$188="A1",2,IF($D$188="A",3,IF($D$188="B",4,5))))+E214/(0.92*1000)))))))</f>
        <v/>
      </c>
      <c r="G214" s="59" t="str">
        <f t="shared" si="28"/>
        <v/>
      </c>
      <c r="H214" s="183"/>
      <c r="I214" s="183"/>
      <c r="J214" s="59" t="str">
        <f>IF(OR(H214="",$D$10="",$N$10=""),"",IF($D$10="COBRE",VLOOKUP(CDV_PROY_BT!H214,FDV!$B$16:$E$24,IF(CDV_PROY_BT!$N$10="3F",3,4),FALSE),IF($D$10="ACS",VLOOKUP(CDV_PROY_BT!H214,FDV!$B$10:$E$15,IF(CDV_PROY_BT!$N$10="3F",3,4),FALSE),IF($D$10="5005 (PREENSAMBLADO)",VLOOKUP(CDV_PROY_BT!H214,FDV!$B$4:$E$9,IF(CDV_PROY_BT!$N$10="3F",3,4),FALSE),VLOOKUP(CDV_PROY_BT!H214,FDV!$B$25:$E$30,IF(CDV_PROY_BT!$N$10="3F",3,4),FALSE)))))</f>
        <v/>
      </c>
      <c r="K214" s="63" t="str">
        <f t="shared" si="27"/>
        <v/>
      </c>
      <c r="L214" s="62" t="str">
        <f t="shared" si="29"/>
        <v/>
      </c>
      <c r="M214" s="62" t="str">
        <f t="shared" si="30"/>
        <v/>
      </c>
      <c r="N214" s="155"/>
      <c r="U214" s="138">
        <f t="shared" si="31"/>
        <v>0</v>
      </c>
      <c r="V214" s="138">
        <f t="shared" si="32"/>
        <v>0</v>
      </c>
    </row>
    <row r="215" spans="1:22" ht="15" hidden="1">
      <c r="A215" s="167"/>
      <c r="B215" s="168"/>
      <c r="C215" s="169"/>
      <c r="D215" s="169"/>
      <c r="E215" s="170"/>
      <c r="F215" s="58" t="str">
        <f>IF($N$184="","",IF($N$184="INDUSTRIAL",IF(OR($D$182="",$D$188=""),"",IF(OR(D215&gt;$D$189,E215&gt;$D$190),"Rev. Total. abona.",IF(D215="",IF(E215="","",E215/(0.92*1000)),IF(OR($D$182="SAN CRISTOBAL",$D$182="FLOREANA"),VLOOKUP(D215,'Estratos SCY - FLO'!$A$4:$M$108,IF($D$188="A1",2,IF($D$188="A",5,IF($D$188="B",8,11))))+E215/(0.92*1000),VLOOKUP(D215,'Estratos SCX - ISA'!$A$3:$M$107,IF($D$188="A1",2,IF($D$188="A",5,IF($D$188="B",8,11))))+E215/(0.92*1000))))),IF(OR($D$182="",$D$188=""),"",IF(OR(D215&gt;$D$189,E215&gt;$D$190),"Rev. Total. abona.",IF(D215="",IF(E215="","",E215/(0.92*1000)),IF(OR($D$182="SAN CRISTOBAL",$D$182="FLOREANA"),VLOOKUP(D215,'Estratos SCY - FLO'!$O$4:$S$108,IF($D$188="A1",2,IF($D$188="A",3,IF($D$188="B",4,5))))+E215/(0.92*1000),VLOOKUP(D215,'Estratos SCX - ISA'!$O$4:$S$108,IF($D$188="A1",2,IF($D$188="A",3,IF($D$188="B",4,5))))+E215/(0.92*1000)))))))</f>
        <v/>
      </c>
      <c r="G215" s="59" t="str">
        <f t="shared" si="28"/>
        <v/>
      </c>
      <c r="H215" s="183"/>
      <c r="I215" s="183"/>
      <c r="J215" s="59" t="str">
        <f>IF(OR(H215="",$D$10="",$N$10=""),"",IF($D$10="COBRE",VLOOKUP(CDV_PROY_BT!H215,FDV!$B$16:$E$24,IF(CDV_PROY_BT!$N$10="3F",3,4),FALSE),IF($D$10="ACS",VLOOKUP(CDV_PROY_BT!H215,FDV!$B$10:$E$15,IF(CDV_PROY_BT!$N$10="3F",3,4),FALSE),IF($D$10="5005 (PREENSAMBLADO)",VLOOKUP(CDV_PROY_BT!H215,FDV!$B$4:$E$9,IF(CDV_PROY_BT!$N$10="3F",3,4),FALSE),VLOOKUP(CDV_PROY_BT!H215,FDV!$B$25:$E$30,IF(CDV_PROY_BT!$N$10="3F",3,4),FALSE)))))</f>
        <v/>
      </c>
      <c r="K215" s="63" t="str">
        <f t="shared" si="27"/>
        <v/>
      </c>
      <c r="L215" s="62" t="str">
        <f t="shared" si="29"/>
        <v/>
      </c>
      <c r="M215" s="62" t="str">
        <f t="shared" si="30"/>
        <v/>
      </c>
      <c r="N215" s="155"/>
      <c r="U215" s="138">
        <f t="shared" si="31"/>
        <v>0</v>
      </c>
      <c r="V215" s="138">
        <f t="shared" si="32"/>
        <v>0</v>
      </c>
    </row>
    <row r="216" spans="1:22" ht="15" hidden="1">
      <c r="A216" s="167"/>
      <c r="B216" s="168"/>
      <c r="C216" s="169"/>
      <c r="D216" s="169"/>
      <c r="E216" s="170"/>
      <c r="F216" s="58" t="str">
        <f>IF($N$184="","",IF($N$184="INDUSTRIAL",IF(OR($D$182="",$D$188=""),"",IF(OR(D216&gt;$D$189,E216&gt;$D$190),"Rev. Total. abona.",IF(D216="",IF(E216="","",E216/(0.92*1000)),IF(OR($D$182="SAN CRISTOBAL",$D$182="FLOREANA"),VLOOKUP(D216,'Estratos SCY - FLO'!$A$4:$M$108,IF($D$188="A1",2,IF($D$188="A",5,IF($D$188="B",8,11))))+E216/(0.92*1000),VLOOKUP(D216,'Estratos SCX - ISA'!$A$3:$M$107,IF($D$188="A1",2,IF($D$188="A",5,IF($D$188="B",8,11))))+E216/(0.92*1000))))),IF(OR($D$182="",$D$188=""),"",IF(OR(D216&gt;$D$189,E216&gt;$D$190),"Rev. Total. abona.",IF(D216="",IF(E216="","",E216/(0.92*1000)),IF(OR($D$182="SAN CRISTOBAL",$D$182="FLOREANA"),VLOOKUP(D216,'Estratos SCY - FLO'!$O$4:$S$108,IF($D$188="A1",2,IF($D$188="A",3,IF($D$188="B",4,5))))+E216/(0.92*1000),VLOOKUP(D216,'Estratos SCX - ISA'!$O$4:$S$108,IF($D$188="A1",2,IF($D$188="A",3,IF($D$188="B",4,5))))+E216/(0.92*1000)))))))</f>
        <v/>
      </c>
      <c r="G216" s="59" t="str">
        <f t="shared" si="28"/>
        <v/>
      </c>
      <c r="H216" s="183"/>
      <c r="I216" s="183"/>
      <c r="J216" s="59" t="str">
        <f>IF(OR(H216="",$D$10="",$N$10=""),"",IF($D$10="COBRE",VLOOKUP(CDV_PROY_BT!H216,FDV!$B$16:$E$24,IF(CDV_PROY_BT!$N$10="3F",3,4),FALSE),IF($D$10="ACS",VLOOKUP(CDV_PROY_BT!H216,FDV!$B$10:$E$15,IF(CDV_PROY_BT!$N$10="3F",3,4),FALSE),IF($D$10="5005 (PREENSAMBLADO)",VLOOKUP(CDV_PROY_BT!H216,FDV!$B$4:$E$9,IF(CDV_PROY_BT!$N$10="3F",3,4),FALSE),VLOOKUP(CDV_PROY_BT!H216,FDV!$B$25:$E$30,IF(CDV_PROY_BT!$N$10="3F",3,4),FALSE)))))</f>
        <v/>
      </c>
      <c r="K216" s="63" t="str">
        <f t="shared" si="27"/>
        <v/>
      </c>
      <c r="L216" s="62" t="str">
        <f t="shared" si="29"/>
        <v/>
      </c>
      <c r="M216" s="62" t="str">
        <f t="shared" si="30"/>
        <v/>
      </c>
      <c r="N216" s="155"/>
      <c r="U216" s="138">
        <f t="shared" si="31"/>
        <v>0</v>
      </c>
      <c r="V216" s="138">
        <f t="shared" si="32"/>
        <v>0</v>
      </c>
    </row>
    <row r="217" spans="1:22" ht="15" hidden="1">
      <c r="A217" s="167"/>
      <c r="B217" s="168"/>
      <c r="C217" s="169"/>
      <c r="D217" s="169"/>
      <c r="E217" s="170"/>
      <c r="F217" s="58" t="str">
        <f>IF($N$184="","",IF($N$184="INDUSTRIAL",IF(OR($D$182="",$D$188=""),"",IF(OR(D217&gt;$D$189,E217&gt;$D$190),"Rev. Total. abona.",IF(D217="",IF(E217="","",E217/(0.92*1000)),IF(OR($D$182="SAN CRISTOBAL",$D$182="FLOREANA"),VLOOKUP(D217,'Estratos SCY - FLO'!$A$4:$M$108,IF($D$188="A1",2,IF($D$188="A",5,IF($D$188="B",8,11))))+E217/(0.92*1000),VLOOKUP(D217,'Estratos SCX - ISA'!$A$3:$M$107,IF($D$188="A1",2,IF($D$188="A",5,IF($D$188="B",8,11))))+E217/(0.92*1000))))),IF(OR($D$182="",$D$188=""),"",IF(OR(D217&gt;$D$189,E217&gt;$D$190),"Rev. Total. abona.",IF(D217="",IF(E217="","",E217/(0.92*1000)),IF(OR($D$182="SAN CRISTOBAL",$D$182="FLOREANA"),VLOOKUP(D217,'Estratos SCY - FLO'!$O$4:$S$108,IF($D$188="A1",2,IF($D$188="A",3,IF($D$188="B",4,5))))+E217/(0.92*1000),VLOOKUP(D217,'Estratos SCX - ISA'!$O$4:$S$108,IF($D$188="A1",2,IF($D$188="A",3,IF($D$188="B",4,5))))+E217/(0.92*1000)))))))</f>
        <v/>
      </c>
      <c r="G217" s="59" t="str">
        <f t="shared" si="28"/>
        <v/>
      </c>
      <c r="H217" s="183"/>
      <c r="I217" s="183"/>
      <c r="J217" s="59" t="str">
        <f>IF(OR(H217="",$D$10="",$N$10=""),"",IF($D$10="COBRE",VLOOKUP(CDV_PROY_BT!H217,FDV!$B$16:$E$24,IF(CDV_PROY_BT!$N$10="3F",3,4),FALSE),IF($D$10="ACS",VLOOKUP(CDV_PROY_BT!H217,FDV!$B$10:$E$15,IF(CDV_PROY_BT!$N$10="3F",3,4),FALSE),IF($D$10="5005 (PREENSAMBLADO)",VLOOKUP(CDV_PROY_BT!H217,FDV!$B$4:$E$9,IF(CDV_PROY_BT!$N$10="3F",3,4),FALSE),VLOOKUP(CDV_PROY_BT!H217,FDV!$B$25:$E$30,IF(CDV_PROY_BT!$N$10="3F",3,4),FALSE)))))</f>
        <v/>
      </c>
      <c r="K217" s="63" t="str">
        <f t="shared" si="27"/>
        <v/>
      </c>
      <c r="L217" s="62" t="str">
        <f t="shared" si="29"/>
        <v/>
      </c>
      <c r="M217" s="62" t="str">
        <f t="shared" si="30"/>
        <v/>
      </c>
      <c r="N217" s="155"/>
      <c r="U217" s="138">
        <f t="shared" si="31"/>
        <v>0</v>
      </c>
      <c r="V217" s="138">
        <f t="shared" si="32"/>
        <v>0</v>
      </c>
    </row>
    <row r="218" spans="1:22" ht="15" hidden="1">
      <c r="A218" s="167"/>
      <c r="B218" s="168"/>
      <c r="C218" s="169"/>
      <c r="D218" s="169"/>
      <c r="E218" s="170"/>
      <c r="F218" s="58" t="str">
        <f>IF($N$184="","",IF($N$184="INDUSTRIAL",IF(OR($D$182="",$D$188=""),"",IF(OR(D218&gt;$D$189,E218&gt;$D$190),"Rev. Total. abona.",IF(D218="",IF(E218="","",E218/(0.92*1000)),IF(OR($D$182="SAN CRISTOBAL",$D$182="FLOREANA"),VLOOKUP(D218,'Estratos SCY - FLO'!$A$4:$M$108,IF($D$188="A1",2,IF($D$188="A",5,IF($D$188="B",8,11))))+E218/(0.92*1000),VLOOKUP(D218,'Estratos SCX - ISA'!$A$3:$M$107,IF($D$188="A1",2,IF($D$188="A",5,IF($D$188="B",8,11))))+E218/(0.92*1000))))),IF(OR($D$182="",$D$188=""),"",IF(OR(D218&gt;$D$189,E218&gt;$D$190),"Rev. Total. abona.",IF(D218="",IF(E218="","",E218/(0.92*1000)),IF(OR($D$182="SAN CRISTOBAL",$D$182="FLOREANA"),VLOOKUP(D218,'Estratos SCY - FLO'!$O$4:$S$108,IF($D$188="A1",2,IF($D$188="A",3,IF($D$188="B",4,5))))+E218/(0.92*1000),VLOOKUP(D218,'Estratos SCX - ISA'!$O$4:$S$108,IF($D$188="A1",2,IF($D$188="A",3,IF($D$188="B",4,5))))+E218/(0.92*1000)))))))</f>
        <v/>
      </c>
      <c r="G218" s="59" t="str">
        <f t="shared" si="28"/>
        <v/>
      </c>
      <c r="H218" s="183"/>
      <c r="I218" s="183"/>
      <c r="J218" s="59" t="str">
        <f>IF(OR(H218="",$D$10="",$N$10=""),"",IF($D$10="COBRE",VLOOKUP(CDV_PROY_BT!H218,FDV!$B$16:$E$24,IF(CDV_PROY_BT!$N$10="3F",3,4),FALSE),IF($D$10="ACS",VLOOKUP(CDV_PROY_BT!H218,FDV!$B$10:$E$15,IF(CDV_PROY_BT!$N$10="3F",3,4),FALSE),IF($D$10="5005 (PREENSAMBLADO)",VLOOKUP(CDV_PROY_BT!H218,FDV!$B$4:$E$9,IF(CDV_PROY_BT!$N$10="3F",3,4),FALSE),VLOOKUP(CDV_PROY_BT!H218,FDV!$B$25:$E$30,IF(CDV_PROY_BT!$N$10="3F",3,4),FALSE)))))</f>
        <v/>
      </c>
      <c r="K218" s="63" t="str">
        <f t="shared" si="27"/>
        <v/>
      </c>
      <c r="L218" s="62" t="str">
        <f t="shared" si="29"/>
        <v/>
      </c>
      <c r="M218" s="62" t="str">
        <f t="shared" si="30"/>
        <v/>
      </c>
      <c r="N218" s="155"/>
      <c r="U218" s="138">
        <f t="shared" si="31"/>
        <v>0</v>
      </c>
      <c r="V218" s="138">
        <f t="shared" si="32"/>
        <v>0</v>
      </c>
    </row>
    <row r="219" spans="1:22" ht="15" hidden="1">
      <c r="A219" s="167"/>
      <c r="B219" s="168"/>
      <c r="C219" s="169"/>
      <c r="D219" s="169"/>
      <c r="E219" s="170"/>
      <c r="F219" s="58" t="str">
        <f>IF($N$184="","",IF($N$184="INDUSTRIAL",IF(OR($D$182="",$D$188=""),"",IF(OR(D219&gt;$D$189,E219&gt;$D$190),"Rev. Total. abona.",IF(D219="",IF(E219="","",E219/(0.92*1000)),IF(OR($D$182="SAN CRISTOBAL",$D$182="FLOREANA"),VLOOKUP(D219,'Estratos SCY - FLO'!$A$4:$M$108,IF($D$188="A1",2,IF($D$188="A",5,IF($D$188="B",8,11))))+E219/(0.92*1000),VLOOKUP(D219,'Estratos SCX - ISA'!$A$3:$M$107,IF($D$188="A1",2,IF($D$188="A",5,IF($D$188="B",8,11))))+E219/(0.92*1000))))),IF(OR($D$182="",$D$188=""),"",IF(OR(D219&gt;$D$189,E219&gt;$D$190),"Rev. Total. abona.",IF(D219="",IF(E219="","",E219/(0.92*1000)),IF(OR($D$182="SAN CRISTOBAL",$D$182="FLOREANA"),VLOOKUP(D219,'Estratos SCY - FLO'!$O$4:$S$108,IF($D$188="A1",2,IF($D$188="A",3,IF($D$188="B",4,5))))+E219/(0.92*1000),VLOOKUP(D219,'Estratos SCX - ISA'!$O$4:$S$108,IF($D$188="A1",2,IF($D$188="A",3,IF($D$188="B",4,5))))+E219/(0.92*1000)))))))</f>
        <v/>
      </c>
      <c r="G219" s="59" t="str">
        <f t="shared" si="28"/>
        <v/>
      </c>
      <c r="H219" s="183"/>
      <c r="I219" s="183"/>
      <c r="J219" s="59" t="str">
        <f>IF(OR(H219="",$D$10="",$N$10=""),"",IF($D$10="COBRE",VLOOKUP(CDV_PROY_BT!H219,FDV!$B$16:$E$24,IF(CDV_PROY_BT!$N$10="3F",3,4),FALSE),IF($D$10="ACS",VLOOKUP(CDV_PROY_BT!H219,FDV!$B$10:$E$15,IF(CDV_PROY_BT!$N$10="3F",3,4),FALSE),IF($D$10="5005 (PREENSAMBLADO)",VLOOKUP(CDV_PROY_BT!H219,FDV!$B$4:$E$9,IF(CDV_PROY_BT!$N$10="3F",3,4),FALSE),VLOOKUP(CDV_PROY_BT!H219,FDV!$B$25:$E$30,IF(CDV_PROY_BT!$N$10="3F",3,4),FALSE)))))</f>
        <v/>
      </c>
      <c r="K219" s="63" t="str">
        <f t="shared" si="27"/>
        <v/>
      </c>
      <c r="L219" s="62" t="str">
        <f t="shared" si="29"/>
        <v/>
      </c>
      <c r="M219" s="62" t="str">
        <f t="shared" si="30"/>
        <v/>
      </c>
      <c r="N219" s="155"/>
      <c r="U219" s="138">
        <f t="shared" si="31"/>
        <v>0</v>
      </c>
      <c r="V219" s="138">
        <f t="shared" si="32"/>
        <v>0</v>
      </c>
    </row>
    <row r="220" spans="1:22" ht="15" hidden="1">
      <c r="A220" s="167"/>
      <c r="B220" s="168"/>
      <c r="C220" s="169"/>
      <c r="D220" s="169"/>
      <c r="E220" s="170"/>
      <c r="F220" s="58" t="str">
        <f>IF($N$184="","",IF($N$184="INDUSTRIAL",IF(OR($D$182="",$D$188=""),"",IF(OR(D220&gt;$D$189,E220&gt;$D$190),"Rev. Total. abona.",IF(D220="",IF(E220="","",E220/(0.92*1000)),IF(OR($D$182="SAN CRISTOBAL",$D$182="FLOREANA"),VLOOKUP(D220,'Estratos SCY - FLO'!$A$4:$M$108,IF($D$188="A1",2,IF($D$188="A",5,IF($D$188="B",8,11))))+E220/(0.92*1000),VLOOKUP(D220,'Estratos SCX - ISA'!$A$3:$M$107,IF($D$188="A1",2,IF($D$188="A",5,IF($D$188="B",8,11))))+E220/(0.92*1000))))),IF(OR($D$182="",$D$188=""),"",IF(OR(D220&gt;$D$189,E220&gt;$D$190),"Rev. Total. abona.",IF(D220="",IF(E220="","",E220/(0.92*1000)),IF(OR($D$182="SAN CRISTOBAL",$D$182="FLOREANA"),VLOOKUP(D220,'Estratos SCY - FLO'!$O$4:$S$108,IF($D$188="A1",2,IF($D$188="A",3,IF($D$188="B",4,5))))+E220/(0.92*1000),VLOOKUP(D220,'Estratos SCX - ISA'!$O$4:$S$108,IF($D$188="A1",2,IF($D$188="A",3,IF($D$188="B",4,5))))+E220/(0.92*1000)))))))</f>
        <v/>
      </c>
      <c r="G220" s="59" t="str">
        <f t="shared" si="28"/>
        <v/>
      </c>
      <c r="H220" s="183"/>
      <c r="I220" s="183"/>
      <c r="J220" s="59" t="str">
        <f>IF(OR(H220="",$D$10="",$N$10=""),"",IF($D$10="COBRE",VLOOKUP(CDV_PROY_BT!H220,FDV!$B$16:$E$24,IF(CDV_PROY_BT!$N$10="3F",3,4),FALSE),IF($D$10="ACS",VLOOKUP(CDV_PROY_BT!H220,FDV!$B$10:$E$15,IF(CDV_PROY_BT!$N$10="3F",3,4),FALSE),IF($D$10="5005 (PREENSAMBLADO)",VLOOKUP(CDV_PROY_BT!H220,FDV!$B$4:$E$9,IF(CDV_PROY_BT!$N$10="3F",3,4),FALSE),VLOOKUP(CDV_PROY_BT!H220,FDV!$B$25:$E$30,IF(CDV_PROY_BT!$N$10="3F",3,4),FALSE)))))</f>
        <v/>
      </c>
      <c r="K220" s="63" t="str">
        <f t="shared" si="27"/>
        <v/>
      </c>
      <c r="L220" s="62" t="str">
        <f t="shared" si="29"/>
        <v/>
      </c>
      <c r="M220" s="62" t="str">
        <f t="shared" si="30"/>
        <v/>
      </c>
      <c r="N220" s="155"/>
      <c r="U220" s="138">
        <f t="shared" si="31"/>
        <v>0</v>
      </c>
      <c r="V220" s="138">
        <f t="shared" si="32"/>
        <v>0</v>
      </c>
    </row>
    <row r="221" spans="1:22" ht="15" hidden="1">
      <c r="A221" s="167"/>
      <c r="B221" s="168"/>
      <c r="C221" s="169"/>
      <c r="D221" s="169"/>
      <c r="E221" s="170"/>
      <c r="F221" s="58" t="str">
        <f>IF($N$184="","",IF($N$184="INDUSTRIAL",IF(OR($D$182="",$D$188=""),"",IF(OR(D221&gt;$D$189,E221&gt;$D$190),"Rev. Total. abona.",IF(D221="",IF(E221="","",E221/(0.92*1000)),IF(OR($D$182="SAN CRISTOBAL",$D$182="FLOREANA"),VLOOKUP(D221,'Estratos SCY - FLO'!$A$4:$M$108,IF($D$188="A1",2,IF($D$188="A",5,IF($D$188="B",8,11))))+E221/(0.92*1000),VLOOKUP(D221,'Estratos SCX - ISA'!$A$3:$M$107,IF($D$188="A1",2,IF($D$188="A",5,IF($D$188="B",8,11))))+E221/(0.92*1000))))),IF(OR($D$182="",$D$188=""),"",IF(OR(D221&gt;$D$189,E221&gt;$D$190),"Rev. Total. abona.",IF(D221="",IF(E221="","",E221/(0.92*1000)),IF(OR($D$182="SAN CRISTOBAL",$D$182="FLOREANA"),VLOOKUP(D221,'Estratos SCY - FLO'!$O$4:$S$108,IF($D$188="A1",2,IF($D$188="A",3,IF($D$188="B",4,5))))+E221/(0.92*1000),VLOOKUP(D221,'Estratos SCX - ISA'!$O$4:$S$108,IF($D$188="A1",2,IF($D$188="A",3,IF($D$188="B",4,5))))+E221/(0.92*1000)))))))</f>
        <v/>
      </c>
      <c r="G221" s="59" t="str">
        <f t="shared" si="28"/>
        <v/>
      </c>
      <c r="H221" s="183"/>
      <c r="I221" s="183"/>
      <c r="J221" s="59" t="str">
        <f>IF(OR(H221="",$D$10="",$N$10=""),"",IF($D$10="COBRE",VLOOKUP(CDV_PROY_BT!H221,FDV!$B$16:$E$24,IF(CDV_PROY_BT!$N$10="3F",3,4),FALSE),IF($D$10="ACS",VLOOKUP(CDV_PROY_BT!H221,FDV!$B$10:$E$15,IF(CDV_PROY_BT!$N$10="3F",3,4),FALSE),IF($D$10="5005 (PREENSAMBLADO)",VLOOKUP(CDV_PROY_BT!H221,FDV!$B$4:$E$9,IF(CDV_PROY_BT!$N$10="3F",3,4),FALSE),VLOOKUP(CDV_PROY_BT!H221,FDV!$B$25:$E$30,IF(CDV_PROY_BT!$N$10="3F",3,4),FALSE)))))</f>
        <v/>
      </c>
      <c r="K221" s="63" t="str">
        <f t="shared" si="27"/>
        <v/>
      </c>
      <c r="L221" s="62" t="str">
        <f t="shared" si="29"/>
        <v/>
      </c>
      <c r="M221" s="62" t="str">
        <f t="shared" si="30"/>
        <v/>
      </c>
      <c r="N221" s="155"/>
      <c r="U221" s="138">
        <f t="shared" si="31"/>
        <v>0</v>
      </c>
      <c r="V221" s="138">
        <f t="shared" si="32"/>
        <v>0</v>
      </c>
    </row>
    <row r="222" spans="1:22" ht="15" hidden="1">
      <c r="A222" s="167"/>
      <c r="B222" s="168"/>
      <c r="C222" s="169"/>
      <c r="D222" s="169"/>
      <c r="E222" s="170"/>
      <c r="F222" s="58" t="str">
        <f>IF($N$184="","",IF($N$184="INDUSTRIAL",IF(OR($D$182="",$D$188=""),"",IF(OR(D222&gt;$D$189,E222&gt;$D$190),"Rev. Total. abona.",IF(D222="",IF(E222="","",E222/(0.92*1000)),IF(OR($D$182="SAN CRISTOBAL",$D$182="FLOREANA"),VLOOKUP(D222,'Estratos SCY - FLO'!$A$4:$M$108,IF($D$188="A1",2,IF($D$188="A",5,IF($D$188="B",8,11))))+E222/(0.92*1000),VLOOKUP(D222,'Estratos SCX - ISA'!$A$3:$M$107,IF($D$188="A1",2,IF($D$188="A",5,IF($D$188="B",8,11))))+E222/(0.92*1000))))),IF(OR($D$182="",$D$188=""),"",IF(OR(D222&gt;$D$189,E222&gt;$D$190),"Rev. Total. abona.",IF(D222="",IF(E222="","",E222/(0.92*1000)),IF(OR($D$182="SAN CRISTOBAL",$D$182="FLOREANA"),VLOOKUP(D222,'Estratos SCY - FLO'!$O$4:$S$108,IF($D$188="A1",2,IF($D$188="A",3,IF($D$188="B",4,5))))+E222/(0.92*1000),VLOOKUP(D222,'Estratos SCX - ISA'!$O$4:$S$108,IF($D$188="A1",2,IF($D$188="A",3,IF($D$188="B",4,5))))+E222/(0.92*1000)))))))</f>
        <v/>
      </c>
      <c r="G222" s="59" t="str">
        <f t="shared" si="28"/>
        <v/>
      </c>
      <c r="H222" s="183"/>
      <c r="I222" s="183"/>
      <c r="J222" s="59" t="str">
        <f>IF(OR(H222="",$D$10="",$N$10=""),"",IF($D$10="COBRE",VLOOKUP(CDV_PROY_BT!H222,FDV!$B$16:$E$24,IF(CDV_PROY_BT!$N$10="3F",3,4),FALSE),IF($D$10="ACS",VLOOKUP(CDV_PROY_BT!H222,FDV!$B$10:$E$15,IF(CDV_PROY_BT!$N$10="3F",3,4),FALSE),IF($D$10="5005 (PREENSAMBLADO)",VLOOKUP(CDV_PROY_BT!H222,FDV!$B$4:$E$9,IF(CDV_PROY_BT!$N$10="3F",3,4),FALSE),VLOOKUP(CDV_PROY_BT!H222,FDV!$B$25:$E$30,IF(CDV_PROY_BT!$N$10="3F",3,4),FALSE)))))</f>
        <v/>
      </c>
      <c r="K222" s="63" t="str">
        <f t="shared" si="27"/>
        <v/>
      </c>
      <c r="L222" s="62" t="str">
        <f t="shared" si="29"/>
        <v/>
      </c>
      <c r="M222" s="62" t="str">
        <f t="shared" si="30"/>
        <v/>
      </c>
      <c r="N222" s="155"/>
      <c r="U222" s="138">
        <f t="shared" si="31"/>
        <v>0</v>
      </c>
      <c r="V222" s="138">
        <f t="shared" si="32"/>
        <v>0</v>
      </c>
    </row>
    <row r="223" spans="1:22" ht="15" hidden="1">
      <c r="A223" s="167"/>
      <c r="B223" s="168"/>
      <c r="C223" s="169"/>
      <c r="D223" s="169"/>
      <c r="E223" s="170"/>
      <c r="F223" s="58" t="str">
        <f>IF($N$184="","",IF($N$184="INDUSTRIAL",IF(OR($D$182="",$D$188=""),"",IF(OR(D223&gt;$D$189,E223&gt;$D$190),"Rev. Total. abona.",IF(D223="",IF(E223="","",E223/(0.92*1000)),IF(OR($D$182="SAN CRISTOBAL",$D$182="FLOREANA"),VLOOKUP(D223,'Estratos SCY - FLO'!$A$4:$M$108,IF($D$188="A1",2,IF($D$188="A",5,IF($D$188="B",8,11))))+E223/(0.92*1000),VLOOKUP(D223,'Estratos SCX - ISA'!$A$3:$M$107,IF($D$188="A1",2,IF($D$188="A",5,IF($D$188="B",8,11))))+E223/(0.92*1000))))),IF(OR($D$182="",$D$188=""),"",IF(OR(D223&gt;$D$189,E223&gt;$D$190),"Rev. Total. abona.",IF(D223="",IF(E223="","",E223/(0.92*1000)),IF(OR($D$182="SAN CRISTOBAL",$D$182="FLOREANA"),VLOOKUP(D223,'Estratos SCY - FLO'!$O$4:$S$108,IF($D$188="A1",2,IF($D$188="A",3,IF($D$188="B",4,5))))+E223/(0.92*1000),VLOOKUP(D223,'Estratos SCX - ISA'!$O$4:$S$108,IF($D$188="A1",2,IF($D$188="A",3,IF($D$188="B",4,5))))+E223/(0.92*1000)))))))</f>
        <v/>
      </c>
      <c r="G223" s="59" t="str">
        <f t="shared" si="28"/>
        <v/>
      </c>
      <c r="H223" s="183"/>
      <c r="I223" s="183"/>
      <c r="J223" s="59" t="str">
        <f>IF(OR(H223="",$D$10="",$N$10=""),"",IF($D$10="COBRE",VLOOKUP(CDV_PROY_BT!H223,FDV!$B$16:$E$24,IF(CDV_PROY_BT!$N$10="3F",3,4),FALSE),IF($D$10="ACS",VLOOKUP(CDV_PROY_BT!H223,FDV!$B$10:$E$15,IF(CDV_PROY_BT!$N$10="3F",3,4),FALSE),IF($D$10="5005 (PREENSAMBLADO)",VLOOKUP(CDV_PROY_BT!H223,FDV!$B$4:$E$9,IF(CDV_PROY_BT!$N$10="3F",3,4),FALSE),VLOOKUP(CDV_PROY_BT!H223,FDV!$B$25:$E$30,IF(CDV_PROY_BT!$N$10="3F",3,4),FALSE)))))</f>
        <v/>
      </c>
      <c r="K223" s="63" t="str">
        <f t="shared" si="27"/>
        <v/>
      </c>
      <c r="L223" s="62" t="str">
        <f t="shared" si="29"/>
        <v/>
      </c>
      <c r="M223" s="62" t="str">
        <f t="shared" si="30"/>
        <v/>
      </c>
      <c r="N223" s="155"/>
      <c r="U223" s="138">
        <f t="shared" si="31"/>
        <v>0</v>
      </c>
      <c r="V223" s="138">
        <f t="shared" si="32"/>
        <v>0</v>
      </c>
    </row>
    <row r="224" spans="1:22" ht="15" hidden="1">
      <c r="A224" s="167"/>
      <c r="B224" s="168"/>
      <c r="C224" s="169"/>
      <c r="D224" s="169"/>
      <c r="E224" s="170"/>
      <c r="F224" s="58" t="str">
        <f>IF($N$184="","",IF($N$184="INDUSTRIAL",IF(OR($D$182="",$D$188=""),"",IF(OR(D224&gt;$D$189,E224&gt;$D$190),"Rev. Total. abona.",IF(D224="",IF(E224="","",E224/(0.92*1000)),IF(OR($D$182="SAN CRISTOBAL",$D$182="FLOREANA"),VLOOKUP(D224,'Estratos SCY - FLO'!$A$4:$M$108,IF($D$188="A1",2,IF($D$188="A",5,IF($D$188="B",8,11))))+E224/(0.92*1000),VLOOKUP(D224,'Estratos SCX - ISA'!$A$3:$M$107,IF($D$188="A1",2,IF($D$188="A",5,IF($D$188="B",8,11))))+E224/(0.92*1000))))),IF(OR($D$182="",$D$188=""),"",IF(OR(D224&gt;$D$189,E224&gt;$D$190),"Rev. Total. abona.",IF(D224="",IF(E224="","",E224/(0.92*1000)),IF(OR($D$182="SAN CRISTOBAL",$D$182="FLOREANA"),VLOOKUP(D224,'Estratos SCY - FLO'!$O$4:$S$108,IF($D$188="A1",2,IF($D$188="A",3,IF($D$188="B",4,5))))+E224/(0.92*1000),VLOOKUP(D224,'Estratos SCX - ISA'!$O$4:$S$108,IF($D$188="A1",2,IF($D$188="A",3,IF($D$188="B",4,5))))+E224/(0.92*1000)))))))</f>
        <v/>
      </c>
      <c r="G224" s="59" t="str">
        <f t="shared" si="28"/>
        <v/>
      </c>
      <c r="H224" s="183"/>
      <c r="I224" s="183"/>
      <c r="J224" s="59" t="str">
        <f>IF(OR(H224="",$D$10="",$N$10=""),"",IF($D$10="COBRE",VLOOKUP(CDV_PROY_BT!H224,FDV!$B$16:$E$24,IF(CDV_PROY_BT!$N$10="3F",3,4),FALSE),IF($D$10="ACS",VLOOKUP(CDV_PROY_BT!H224,FDV!$B$10:$E$15,IF(CDV_PROY_BT!$N$10="3F",3,4),FALSE),IF($D$10="5005 (PREENSAMBLADO)",VLOOKUP(CDV_PROY_BT!H224,FDV!$B$4:$E$9,IF(CDV_PROY_BT!$N$10="3F",3,4),FALSE),VLOOKUP(CDV_PROY_BT!H224,FDV!$B$25:$E$30,IF(CDV_PROY_BT!$N$10="3F",3,4),FALSE)))))</f>
        <v/>
      </c>
      <c r="K224" s="63" t="str">
        <f t="shared" si="27"/>
        <v/>
      </c>
      <c r="L224" s="62" t="str">
        <f t="shared" si="29"/>
        <v/>
      </c>
      <c r="M224" s="62" t="str">
        <f t="shared" si="30"/>
        <v/>
      </c>
      <c r="N224" s="156"/>
      <c r="U224" s="138">
        <f t="shared" si="31"/>
        <v>0</v>
      </c>
      <c r="V224" s="138">
        <f t="shared" si="32"/>
        <v>0</v>
      </c>
    </row>
    <row r="225" spans="1:22" ht="15.75" hidden="1" thickBot="1">
      <c r="A225" s="178"/>
      <c r="B225" s="179"/>
      <c r="C225" s="180"/>
      <c r="D225" s="180"/>
      <c r="E225" s="181"/>
      <c r="F225" s="68" t="str">
        <f>IF($N$184="","",IF($N$184="INDUSTRIAL",IF(OR($D$182="",$D$188=""),"",IF(OR(D225&gt;$D$189,E225&gt;$D$190),"Rev. Total. abona.",IF(D225="",IF(E225="","",E225/(0.92*1000)),IF(OR($D$182="SAN CRISTOBAL",$D$182="FLOREANA"),VLOOKUP(D225,'Estratos SCY - FLO'!$A$4:$M$108,IF($D$188="A1",2,IF($D$188="A",5,IF($D$188="B",8,11))))+E225/(0.92*1000),VLOOKUP(D225,'Estratos SCX - ISA'!$A$3:$M$107,IF($D$188="A1",2,IF($D$188="A",5,IF($D$188="B",8,11))))+E225/(0.92*1000))))),IF(OR($D$182="",$D$188=""),"",IF(OR(D225&gt;$D$189,E225&gt;$D$190),"Rev. Total. abona.",IF(D225="",IF(E225="","",E225/(0.92*1000)),IF(OR($D$182="SAN CRISTOBAL",$D$182="FLOREANA"),VLOOKUP(D225,'Estratos SCY - FLO'!$O$4:$S$108,IF($D$188="A1",2,IF($D$188="A",3,IF($D$188="B",4,5))))+E225/(0.92*1000),VLOOKUP(D225,'Estratos SCX - ISA'!$O$4:$S$108,IF($D$188="A1",2,IF($D$188="A",3,IF($D$188="B",4,5))))+E225/(0.92*1000)))))))</f>
        <v/>
      </c>
      <c r="G225" s="69" t="str">
        <f t="shared" si="28"/>
        <v/>
      </c>
      <c r="H225" s="184"/>
      <c r="I225" s="184"/>
      <c r="J225" s="69" t="str">
        <f>IF(OR(H225="",$D$10="",$N$10=""),"",IF($D$10="COBRE",VLOOKUP(CDV_PROY_BT!H225,FDV!$B$16:$E$24,IF(CDV_PROY_BT!$N$10="3F",3,4),FALSE),IF($D$10="ACS",VLOOKUP(CDV_PROY_BT!H225,FDV!$B$10:$E$15,IF(CDV_PROY_BT!$N$10="3F",3,4),FALSE),IF($D$10="5005 (PREENSAMBLADO)",VLOOKUP(CDV_PROY_BT!H225,FDV!$B$4:$E$9,IF(CDV_PROY_BT!$N$10="3F",3,4),FALSE),VLOOKUP(CDV_PROY_BT!H225,FDV!$B$25:$E$30,IF(CDV_PROY_BT!$N$10="3F",3,4),FALSE)))))</f>
        <v/>
      </c>
      <c r="K225" s="65" t="str">
        <f t="shared" si="27"/>
        <v/>
      </c>
      <c r="L225" s="64" t="str">
        <f t="shared" si="29"/>
        <v/>
      </c>
      <c r="M225" s="64" t="str">
        <f t="shared" si="30"/>
        <v/>
      </c>
      <c r="N225" s="157"/>
      <c r="U225" s="138">
        <f t="shared" si="31"/>
        <v>0</v>
      </c>
      <c r="V225" s="138">
        <f t="shared" si="32"/>
        <v>0</v>
      </c>
    </row>
    <row r="226" spans="1:22" ht="15.75" hidden="1" thickBot="1">
      <c r="A226" s="143"/>
      <c r="B226" s="67" t="str">
        <f>IF(N195="","",N195)</f>
        <v>P30</v>
      </c>
      <c r="C226" s="144"/>
      <c r="D226" s="144"/>
      <c r="E226" s="145"/>
      <c r="F226" s="68"/>
      <c r="G226" s="69" t="str">
        <f t="shared" si="28"/>
        <v/>
      </c>
      <c r="H226" s="146" t="e">
        <f>IF(B226="","",IF(B226-A226=1,H225,""))</f>
        <v>#VALUE!</v>
      </c>
      <c r="I226" s="146"/>
      <c r="J226" s="70" t="e">
        <f>IF(OR(H226="",$D$10="",$N$10=""),"",IF($D$10="COBRE",VLOOKUP(CDV_PROY_BT!H226,FDV!$B$16:$E$24,IF(CDV_PROY_BT!$N$10="3F",3,4),FALSE),IF($D$10="ACS",VLOOKUP(CDV_PROY_BT!H226,FDV!$B$10:$E$15,IF(CDV_PROY_BT!$N$10="3F",3,4),FALSE),IF($D$10="5005 (PREENSAMBLADO)",VLOOKUP(CDV_PROY_BT!H226,FDV!$B$4:$E$9,IF(CDV_PROY_BT!$N$10="3F",3,4),FALSE),VLOOKUP(CDV_PROY_BT!H226,FDV!$B$25:$E$30,IF(CDV_PROY_BT!$N$10="3F",3,4),FALSE)))))</f>
        <v>#VALUE!</v>
      </c>
      <c r="K226" s="71" t="str">
        <f t="shared" si="27"/>
        <v/>
      </c>
      <c r="L226" s="68" t="str">
        <f aca="true" t="shared" si="33" ref="L226">IF(C226="","",ROUND(K226/J226,2))</f>
        <v/>
      </c>
      <c r="M226" s="72">
        <v>0</v>
      </c>
      <c r="N226" s="66"/>
      <c r="U226" s="138">
        <f aca="true" t="shared" si="34" ref="U226:U227">+IF(D226&gt;0,C226,0)</f>
        <v>0</v>
      </c>
      <c r="V226" s="138">
        <f aca="true" t="shared" si="35" ref="V226:V227">IF(C226="",0,C226*G226)</f>
        <v>0</v>
      </c>
    </row>
    <row r="227" spans="1:22" ht="15.75" hidden="1" thickBot="1">
      <c r="A227" s="73" t="s">
        <v>113</v>
      </c>
      <c r="B227" s="74"/>
      <c r="C227" s="75"/>
      <c r="D227" s="75"/>
      <c r="E227" s="76"/>
      <c r="F227" s="77"/>
      <c r="G227" s="78"/>
      <c r="H227" s="79"/>
      <c r="I227" s="79"/>
      <c r="J227" s="78"/>
      <c r="K227" s="121"/>
      <c r="L227" s="121"/>
      <c r="M227" s="128"/>
      <c r="N227" s="233"/>
      <c r="U227" s="138">
        <f t="shared" si="34"/>
        <v>0</v>
      </c>
      <c r="V227" s="138">
        <f t="shared" si="35"/>
        <v>0</v>
      </c>
    </row>
    <row r="228" spans="1:14" ht="15.75" hidden="1" thickBot="1">
      <c r="A228" s="93" t="s">
        <v>96</v>
      </c>
      <c r="B228" s="94">
        <f>+ROUND(SUMIF(H199:H225,"4/0",V199:V227)*1.015,0)</f>
        <v>0</v>
      </c>
      <c r="C228" s="93" t="s">
        <v>97</v>
      </c>
      <c r="D228" s="94">
        <f>ROUND((SUMIF(H199:H225,"3/0",V199:V227))*1.015,0)</f>
        <v>0</v>
      </c>
      <c r="E228" s="82" t="s">
        <v>95</v>
      </c>
      <c r="F228" s="81">
        <f>ROUND((SUMIF(H199:H225,"2/0",V199:V227))*1.015,0)</f>
        <v>0</v>
      </c>
      <c r="G228" s="80" t="s">
        <v>57</v>
      </c>
      <c r="H228" s="81">
        <f>ROUND((SUMIF(H199:H225,"1/0",V199:V227))*1.015,0)</f>
        <v>131</v>
      </c>
      <c r="I228" s="93" t="s">
        <v>58</v>
      </c>
      <c r="J228" s="94">
        <f>ROUND((SUMIF(H199:H225,"2",V199:V227))*1.015,0)</f>
        <v>0</v>
      </c>
      <c r="K228" s="147"/>
      <c r="L228" s="91"/>
      <c r="M228" s="92"/>
      <c r="N228" s="234"/>
    </row>
    <row r="229" spans="1:14" ht="15.75" hidden="1" thickBot="1">
      <c r="A229" s="119" t="s">
        <v>107</v>
      </c>
      <c r="B229" s="92"/>
      <c r="C229" s="91"/>
      <c r="D229" s="92"/>
      <c r="E229" s="91"/>
      <c r="F229" s="92"/>
      <c r="G229" s="91"/>
      <c r="H229" s="92"/>
      <c r="I229" s="92"/>
      <c r="J229" s="91"/>
      <c r="K229" s="92"/>
      <c r="L229" s="91"/>
      <c r="M229" s="92"/>
      <c r="N229" s="234"/>
    </row>
    <row r="230" spans="1:14" ht="15.75" hidden="1" thickBot="1">
      <c r="A230" s="93" t="s">
        <v>96</v>
      </c>
      <c r="B230" s="94">
        <f>+ROUND(SUMIF(I199:I225,"4/0",U199:U227)*1.015,0)</f>
        <v>0</v>
      </c>
      <c r="C230" s="93" t="s">
        <v>97</v>
      </c>
      <c r="D230" s="94">
        <f>ROUND((SUMIF(I199:I225,"3/0",U199:U227))*1.015,0)</f>
        <v>0</v>
      </c>
      <c r="E230" s="93" t="s">
        <v>95</v>
      </c>
      <c r="F230" s="94">
        <f>ROUND((SUMIF(I199:I225,"2/0",U199:U227))*1.015,0)</f>
        <v>0</v>
      </c>
      <c r="G230" s="93" t="s">
        <v>57</v>
      </c>
      <c r="H230" s="94">
        <f>ROUND((SUMIF(I199:I225,"1/0",U199:U227))*1.015,0)</f>
        <v>131</v>
      </c>
      <c r="I230" s="93" t="s">
        <v>58</v>
      </c>
      <c r="J230" s="94">
        <f>ROUND((SUMIF(I199:I225,"2",U199:U227))*1.015,0)</f>
        <v>0</v>
      </c>
      <c r="L230" s="91"/>
      <c r="M230" s="92"/>
      <c r="N230" s="234"/>
    </row>
    <row r="231" spans="1:14" ht="15.75" hidden="1" thickBot="1">
      <c r="A231" s="235" t="s">
        <v>123</v>
      </c>
      <c r="B231" s="235"/>
      <c r="C231" s="235"/>
      <c r="D231" s="21">
        <f>IF(N186="","",SUM(C199:C225))</f>
        <v>129</v>
      </c>
      <c r="E231" s="28" t="s">
        <v>59</v>
      </c>
      <c r="G231" s="21"/>
      <c r="H231" s="21"/>
      <c r="I231" s="21"/>
      <c r="J231" s="21"/>
      <c r="K231" s="21"/>
      <c r="L231" s="21"/>
      <c r="M231" s="23"/>
      <c r="N231" s="83" t="s">
        <v>80</v>
      </c>
    </row>
    <row r="232" spans="1:14" ht="15" hidden="1">
      <c r="A232" s="36" t="s">
        <v>60</v>
      </c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6"/>
      <c r="M232" s="237"/>
      <c r="N232" s="84" t="s">
        <v>61</v>
      </c>
    </row>
    <row r="233" spans="1:14" ht="15.75" hidden="1" thickBot="1">
      <c r="A233" s="148"/>
      <c r="B233" s="238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9"/>
      <c r="N233" s="85">
        <f>MAX(N199:N225)</f>
        <v>2.4299999999999997</v>
      </c>
    </row>
    <row r="234" ht="15.75" hidden="1" thickBot="1"/>
    <row r="235" spans="1:14" ht="15.75" hidden="1" thickBot="1">
      <c r="A235" s="18"/>
      <c r="B235" s="18"/>
      <c r="C235" s="19"/>
      <c r="D235" s="19"/>
      <c r="E235" s="19"/>
      <c r="F235" s="20"/>
      <c r="G235" s="18"/>
      <c r="H235" s="18"/>
      <c r="I235" s="18"/>
      <c r="J235" s="19"/>
      <c r="K235" s="18"/>
      <c r="L235" s="18"/>
      <c r="M235" s="131" t="s">
        <v>122</v>
      </c>
      <c r="N235" s="161" t="s">
        <v>198</v>
      </c>
    </row>
    <row r="236" spans="1:14" ht="18" hidden="1">
      <c r="A236" s="256" t="s">
        <v>62</v>
      </c>
      <c r="B236" s="256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</row>
    <row r="237" spans="1:14" ht="18" hidden="1">
      <c r="A237" s="192"/>
      <c r="B237" s="192"/>
      <c r="C237" s="192"/>
      <c r="D237" s="192"/>
      <c r="E237" s="192"/>
      <c r="F237" s="22" t="s">
        <v>111</v>
      </c>
      <c r="G237" s="192"/>
      <c r="H237" s="192"/>
      <c r="I237" s="192"/>
      <c r="J237" s="192"/>
      <c r="K237" s="192"/>
      <c r="L237" s="192"/>
      <c r="M237" s="192"/>
      <c r="N237" s="87"/>
    </row>
    <row r="238" spans="1:31" ht="15.75" hidden="1">
      <c r="A238" s="257" t="s">
        <v>112</v>
      </c>
      <c r="B238" s="257"/>
      <c r="C238" s="257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U238" s="138" t="s">
        <v>63</v>
      </c>
      <c r="W238" s="138" t="s">
        <v>24</v>
      </c>
      <c r="Y238" s="138" t="s">
        <v>69</v>
      </c>
      <c r="AA238" s="138" t="s">
        <v>72</v>
      </c>
      <c r="AB238" s="138" t="s">
        <v>77</v>
      </c>
      <c r="AC238" s="138" t="s">
        <v>79</v>
      </c>
      <c r="AD238" s="138" t="s">
        <v>160</v>
      </c>
      <c r="AE238" s="138" t="s">
        <v>166</v>
      </c>
    </row>
    <row r="239" spans="1:31" ht="16.5" hidden="1" thickBot="1">
      <c r="A239" s="24"/>
      <c r="B239" s="18"/>
      <c r="C239" s="19"/>
      <c r="D239" s="19"/>
      <c r="E239" s="19"/>
      <c r="F239" s="20"/>
      <c r="G239" s="20"/>
      <c r="H239" s="18"/>
      <c r="I239" s="18"/>
      <c r="J239" s="18"/>
      <c r="K239" s="19"/>
      <c r="L239" s="18"/>
      <c r="M239" s="18"/>
      <c r="N239" s="23"/>
      <c r="U239" s="138" t="s">
        <v>64</v>
      </c>
      <c r="W239" s="138" t="s">
        <v>82</v>
      </c>
      <c r="Y239" s="138" t="s">
        <v>70</v>
      </c>
      <c r="AA239" s="138" t="s">
        <v>73</v>
      </c>
      <c r="AB239" s="138" t="s">
        <v>29</v>
      </c>
      <c r="AC239" s="139">
        <v>2</v>
      </c>
      <c r="AD239" s="138" t="s">
        <v>161</v>
      </c>
      <c r="AE239" s="138">
        <v>0.65</v>
      </c>
    </row>
    <row r="240" spans="1:31" ht="15.75" hidden="1" thickBot="1">
      <c r="A240" s="25" t="s">
        <v>23</v>
      </c>
      <c r="B240" s="26"/>
      <c r="C240" s="88"/>
      <c r="D240" s="246" t="s">
        <v>64</v>
      </c>
      <c r="E240" s="246"/>
      <c r="F240" s="258" t="s">
        <v>92</v>
      </c>
      <c r="G240" s="259"/>
      <c r="H240" s="260" t="e">
        <f>+H182</f>
        <v>#REF!</v>
      </c>
      <c r="I240" s="261"/>
      <c r="J240" s="262"/>
      <c r="K240" s="263" t="s">
        <v>81</v>
      </c>
      <c r="L240" s="264"/>
      <c r="M240" s="265" t="e">
        <f>+M182</f>
        <v>#REF!</v>
      </c>
      <c r="N240" s="266"/>
      <c r="U240" s="138" t="s">
        <v>65</v>
      </c>
      <c r="W240" s="138" t="s">
        <v>83</v>
      </c>
      <c r="Y240" s="138" t="s">
        <v>7</v>
      </c>
      <c r="AA240" s="138" t="s">
        <v>76</v>
      </c>
      <c r="AB240" s="138" t="s">
        <v>78</v>
      </c>
      <c r="AC240" s="139" t="s">
        <v>0</v>
      </c>
      <c r="AD240" s="138" t="s">
        <v>162</v>
      </c>
      <c r="AE240" s="138">
        <v>0.7</v>
      </c>
    </row>
    <row r="241" spans="1:31" ht="15.75" hidden="1" thickBot="1">
      <c r="A241" s="21"/>
      <c r="B241" s="21"/>
      <c r="C241" s="21"/>
      <c r="D241" s="21"/>
      <c r="E241" s="21"/>
      <c r="F241" s="28"/>
      <c r="G241" s="28"/>
      <c r="H241" s="21"/>
      <c r="I241" s="21"/>
      <c r="J241" s="21"/>
      <c r="K241" s="21"/>
      <c r="L241" s="21"/>
      <c r="M241" s="21"/>
      <c r="N241" s="23"/>
      <c r="U241" s="138" t="s">
        <v>66</v>
      </c>
      <c r="W241" s="138" t="s">
        <v>68</v>
      </c>
      <c r="Y241" s="138" t="s">
        <v>27</v>
      </c>
      <c r="AA241" s="138" t="s">
        <v>74</v>
      </c>
      <c r="AC241" s="139" t="s">
        <v>1</v>
      </c>
      <c r="AD241" s="138" t="s">
        <v>163</v>
      </c>
      <c r="AE241" s="138">
        <v>0.8</v>
      </c>
    </row>
    <row r="242" spans="1:31" ht="15.75" hidden="1" thickBot="1">
      <c r="A242" s="25" t="s">
        <v>24</v>
      </c>
      <c r="B242" s="26"/>
      <c r="C242" s="26"/>
      <c r="D242" s="245" t="s">
        <v>68</v>
      </c>
      <c r="E242" s="246"/>
      <c r="F242" s="247"/>
      <c r="G242" s="26"/>
      <c r="H242" s="29"/>
      <c r="I242" s="29"/>
      <c r="J242" s="26"/>
      <c r="K242" s="26"/>
      <c r="L242" s="26" t="s">
        <v>164</v>
      </c>
      <c r="M242" s="26"/>
      <c r="N242" s="208" t="s">
        <v>163</v>
      </c>
      <c r="U242" s="138" t="s">
        <v>67</v>
      </c>
      <c r="Y242" s="138" t="s">
        <v>9</v>
      </c>
      <c r="AA242" s="138" t="s">
        <v>75</v>
      </c>
      <c r="AC242" s="139" t="s">
        <v>2</v>
      </c>
      <c r="AE242" s="138">
        <v>0.9</v>
      </c>
    </row>
    <row r="243" spans="1:31" ht="15.75" hidden="1" thickBot="1">
      <c r="A243" s="23" t="s">
        <v>25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 t="s">
        <v>168</v>
      </c>
      <c r="L243" s="205"/>
      <c r="M243" s="23"/>
      <c r="N243" s="43" t="str">
        <f>IF(N244="","",IF(N244="3F","220 / 127 V","240 / 120 V"))</f>
        <v>220 / 127 V</v>
      </c>
      <c r="AC243" s="141" t="s">
        <v>3</v>
      </c>
      <c r="AE243" s="138">
        <v>1</v>
      </c>
    </row>
    <row r="244" spans="1:24" ht="15.75" hidden="1" thickBot="1">
      <c r="A244" s="30" t="s">
        <v>26</v>
      </c>
      <c r="B244" s="18"/>
      <c r="C244" s="23"/>
      <c r="D244" s="248" t="s">
        <v>70</v>
      </c>
      <c r="E244" s="249"/>
      <c r="F244" s="18"/>
      <c r="G244" s="18"/>
      <c r="H244" s="18"/>
      <c r="I244" s="18"/>
      <c r="J244" s="18"/>
      <c r="K244" s="23"/>
      <c r="L244" s="18" t="s">
        <v>169</v>
      </c>
      <c r="M244" s="18"/>
      <c r="N244" s="151" t="s">
        <v>78</v>
      </c>
      <c r="U244" s="138" t="s">
        <v>64</v>
      </c>
      <c r="W244" s="138" t="s">
        <v>29</v>
      </c>
      <c r="X244" s="138" t="s">
        <v>78</v>
      </c>
    </row>
    <row r="245" spans="1:24" ht="15.75" hidden="1" thickBot="1">
      <c r="A245" s="23"/>
      <c r="B245" s="31"/>
      <c r="C245" s="23"/>
      <c r="D245" s="19"/>
      <c r="E245" s="32"/>
      <c r="F245" s="32"/>
      <c r="G245" s="20"/>
      <c r="H245" s="20"/>
      <c r="I245" s="20"/>
      <c r="J245" s="33"/>
      <c r="K245" s="21" t="s">
        <v>165</v>
      </c>
      <c r="L245" s="35"/>
      <c r="M245" s="18"/>
      <c r="N245" s="206">
        <v>0.8</v>
      </c>
      <c r="U245" s="138" t="s">
        <v>84</v>
      </c>
      <c r="W245" s="138">
        <v>10</v>
      </c>
      <c r="X245" s="138">
        <v>30</v>
      </c>
    </row>
    <row r="246" spans="1:24" ht="15.75" hidden="1" thickBot="1">
      <c r="A246" s="36" t="s">
        <v>71</v>
      </c>
      <c r="B246" s="37"/>
      <c r="C246" s="37"/>
      <c r="D246" s="150" t="s">
        <v>74</v>
      </c>
      <c r="E246" s="38"/>
      <c r="F246" s="39"/>
      <c r="G246" s="39"/>
      <c r="H246" s="39"/>
      <c r="I246" s="39"/>
      <c r="J246" s="37"/>
      <c r="K246" s="36"/>
      <c r="L246" s="37"/>
      <c r="M246" s="89" t="s">
        <v>30</v>
      </c>
      <c r="N246" s="190" t="s">
        <v>138</v>
      </c>
      <c r="U246" s="138" t="s">
        <v>85</v>
      </c>
      <c r="W246" s="138">
        <v>15</v>
      </c>
      <c r="X246" s="138">
        <v>50</v>
      </c>
    </row>
    <row r="247" spans="1:24" ht="15.75" hidden="1" thickBot="1">
      <c r="A247" s="41" t="s">
        <v>31</v>
      </c>
      <c r="B247" s="21"/>
      <c r="C247" s="21"/>
      <c r="D247" s="150">
        <v>12</v>
      </c>
      <c r="E247" s="21"/>
      <c r="F247" s="28"/>
      <c r="G247" s="42" t="s">
        <v>32</v>
      </c>
      <c r="H247" s="250" t="e">
        <f>+H189</f>
        <v>#REF!</v>
      </c>
      <c r="I247" s="251"/>
      <c r="J247" s="251"/>
      <c r="K247" s="41"/>
      <c r="L247" s="21"/>
      <c r="M247" s="115" t="s">
        <v>93</v>
      </c>
      <c r="N247" s="207">
        <f>+N248/N245</f>
        <v>52.580305130986495</v>
      </c>
      <c r="U247" s="138" t="s">
        <v>86</v>
      </c>
      <c r="W247" s="138">
        <v>25</v>
      </c>
      <c r="X247" s="138">
        <v>75</v>
      </c>
    </row>
    <row r="248" spans="1:24" ht="15.75" hidden="1" thickBot="1">
      <c r="A248" s="41" t="s">
        <v>34</v>
      </c>
      <c r="B248" s="21"/>
      <c r="C248" s="21"/>
      <c r="D248" s="162">
        <v>440</v>
      </c>
      <c r="E248" s="41"/>
      <c r="F248" s="28"/>
      <c r="G248" s="42" t="s">
        <v>35</v>
      </c>
      <c r="H248" s="252" t="e">
        <f>+H190</f>
        <v>#REF!</v>
      </c>
      <c r="I248" s="253"/>
      <c r="J248" s="253"/>
      <c r="K248" s="41"/>
      <c r="L248" s="21"/>
      <c r="M248" s="115" t="s">
        <v>167</v>
      </c>
      <c r="N248" s="116">
        <f>IF($N$242="","",IF($N$242="INDUSTRIAL",IF(OR(D240="",D246="",D247=""),"",(IF(OR(D240="SAN CRISTOBAL",D240="FLOREANA"),VLOOKUP(D247,'Estratos SCY - FLO'!$A$4:$M$108,IF(D246="A1",2,IF(D246="A",5,IF(D246="B",8,11))),0),VLOOKUP(D247,'Estratos SCX - ISA'!$A$4:$M$108,IF(D246="A1",2,IF(D246="A",5,IF(D246="B",8,11))),0))+D248/920)*N245),IF(OR(D240="",D246="",D247=""),"",(IF(OR(D240="SAN CRISTOBAL",D240="FLOREANA"),VLOOKUP(D247,'Estratos SCY - FLO'!$O$4:$S$108,IF(D246="A1",2,IF(D246="A",3,IF(D246="B",4,5))),0),VLOOKUP(D247,'Estratos SCX - ISA'!$O$4:$S$108,IF(D246="A1",2,IF(D246="A",3,IF(D246="B",4,5))),0))+D248/920)*N245)))</f>
        <v>42.064244104789196</v>
      </c>
      <c r="U248" s="138" t="s">
        <v>87</v>
      </c>
      <c r="W248" s="138">
        <v>37.5</v>
      </c>
      <c r="X248" s="138">
        <v>100</v>
      </c>
    </row>
    <row r="249" spans="1:24" ht="42" customHeight="1" hidden="1" thickBot="1">
      <c r="A249" s="254" t="str">
        <f>+IF(OR(N242="INDUSTRIAL"),"NOTA: Estratos:  A1 (Consumo-Alto); A (Consumo-Medio); B(Consumo-Bajo); C(Consumo-Mínimo)",IF(N242="","","NOTA: Estratos:  A1 (Casco Urbano-Sector hotelero);A (Barrios Centricos); B(Zona Periferica); C(Zona Rural)"))</f>
        <v>NOTA: Estratos:  A1 (Consumo-Alto); A (Consumo-Medio); B(Consumo-Bajo); C(Consumo-Mínimo)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44"/>
      <c r="L249" s="34"/>
      <c r="M249" s="130" t="str">
        <f>+IF(OR(N244="",D246="",D247=""),"","POT. NOMINAL TRAFO. (KVA):")</f>
        <v>POT. NOMINAL TRAFO. (KVA):</v>
      </c>
      <c r="N249" s="117">
        <f>IF(OR(N244="",N245="",N245=0),"",IF(N244="1F",IF(N248&lt;$W$11,$W$11,IF(AND(N248&gt;$W$11,N248&lt;$W$12),$W$12,IF(AND(N248&gt;$W$12,N248&lt;$W$13),$W$13,IF(AND(N248&gt;$W$13,N248&lt;$W$14),$W$14,IF(AND(N248&gt;$W$14,N248&lt;$W$15),$W$15,IF(AND(N248&gt;$W$15,N248&lt;$W$16),$W$16,IF(AND(N248&gt;$W$16,N248&lt;$W$17),$W$17,IF(AND(N248&gt;$W$17,N248&lt;$W$18),$W$18,IF(AND(N248&gt;$W$18,N248&lt;$W$19),$W$19,""))))))))),IF($N$248&lt;$X$11,$X$11,IF(AND(N248&gt;$X$11,N248&lt;$X$12),$X$12,IF(AND(N248&gt;$X$12,N248&lt;$X$13),$X$13,IF(AND(N248&gt;$X$13,N248&lt;$X$14),$X$14,IF(AND(N248&gt;$X$14,N248&lt;$X$15),$X$15,IF(AND(N248&gt;$X$15,N248&lt;$X$16),$X$16,IF(AND(N248&gt;$X$16,N248&lt;$X$17),$X$17,"")))))))))</f>
        <v>50</v>
      </c>
      <c r="U249" s="138" t="s">
        <v>88</v>
      </c>
      <c r="W249" s="138">
        <v>50</v>
      </c>
      <c r="X249" s="138">
        <v>125</v>
      </c>
    </row>
    <row r="250" spans="1:24" ht="15.75" hidden="1" thickBot="1">
      <c r="A250" s="21"/>
      <c r="B250" s="21"/>
      <c r="C250" s="21"/>
      <c r="D250" s="21"/>
      <c r="E250" s="21"/>
      <c r="F250" s="28"/>
      <c r="G250" s="28"/>
      <c r="H250" s="21"/>
      <c r="I250" s="21"/>
      <c r="J250" s="21"/>
      <c r="K250" s="21"/>
      <c r="L250" s="21"/>
      <c r="M250" s="21"/>
      <c r="N250" s="23"/>
      <c r="U250" s="138" t="s">
        <v>89</v>
      </c>
      <c r="W250" s="138">
        <v>75</v>
      </c>
      <c r="X250" s="138">
        <v>150</v>
      </c>
    </row>
    <row r="251" spans="1:24" ht="19.5" hidden="1" thickBot="1">
      <c r="A251" s="46" t="s">
        <v>36</v>
      </c>
      <c r="B251" s="47"/>
      <c r="C251" s="47"/>
      <c r="D251" s="48" t="s">
        <v>37</v>
      </c>
      <c r="E251" s="49"/>
      <c r="F251" s="50"/>
      <c r="G251" s="50"/>
      <c r="H251" s="37"/>
      <c r="I251" s="37"/>
      <c r="J251" s="37"/>
      <c r="K251" s="37"/>
      <c r="L251" s="37"/>
      <c r="M251" s="37"/>
      <c r="N251" s="40"/>
      <c r="U251" s="138" t="s">
        <v>90</v>
      </c>
      <c r="W251" s="138">
        <v>100</v>
      </c>
      <c r="X251" s="138">
        <v>200</v>
      </c>
    </row>
    <row r="252" spans="1:23" ht="15.75" hidden="1" thickBot="1">
      <c r="A252" s="41"/>
      <c r="B252" s="21"/>
      <c r="C252" s="21"/>
      <c r="D252" s="21"/>
      <c r="E252" s="21"/>
      <c r="F252" s="28"/>
      <c r="G252" s="28"/>
      <c r="H252" s="21"/>
      <c r="I252" s="21"/>
      <c r="J252" s="21"/>
      <c r="K252" s="21"/>
      <c r="L252" s="21" t="s">
        <v>186</v>
      </c>
      <c r="M252" s="21"/>
      <c r="N252" s="163"/>
      <c r="U252" s="138" t="s">
        <v>91</v>
      </c>
      <c r="W252" s="138">
        <v>112.5</v>
      </c>
    </row>
    <row r="253" spans="1:23" ht="15.75" hidden="1" thickBot="1">
      <c r="A253" s="44"/>
      <c r="B253" s="34"/>
      <c r="C253" s="34"/>
      <c r="D253" s="34"/>
      <c r="E253" s="34"/>
      <c r="F253" s="45"/>
      <c r="G253" s="45"/>
      <c r="H253" s="34"/>
      <c r="I253" s="34"/>
      <c r="J253" s="34"/>
      <c r="K253" s="34"/>
      <c r="L253" s="113" t="s">
        <v>102</v>
      </c>
      <c r="M253" s="142"/>
      <c r="N253" s="163" t="s">
        <v>141</v>
      </c>
      <c r="W253" s="138">
        <v>125</v>
      </c>
    </row>
    <row r="254" spans="1:14" ht="15.75" hidden="1" thickBot="1">
      <c r="A254" s="21"/>
      <c r="B254" s="21"/>
      <c r="C254" s="21"/>
      <c r="D254" s="21"/>
      <c r="E254" s="21"/>
      <c r="F254" s="28"/>
      <c r="G254" s="28"/>
      <c r="H254" s="21"/>
      <c r="I254" s="21"/>
      <c r="J254" s="21"/>
      <c r="K254" s="21"/>
      <c r="L254" s="21"/>
      <c r="M254" s="21"/>
      <c r="N254" s="23"/>
    </row>
    <row r="255" spans="1:22" ht="15.75" customHeight="1" hidden="1" thickBot="1">
      <c r="A255" s="240" t="s">
        <v>38</v>
      </c>
      <c r="B255" s="241"/>
      <c r="C255" s="52" t="s">
        <v>39</v>
      </c>
      <c r="D255" s="52" t="s">
        <v>40</v>
      </c>
      <c r="E255" s="53" t="s">
        <v>41</v>
      </c>
      <c r="F255" s="53" t="s">
        <v>42</v>
      </c>
      <c r="G255" s="240" t="s">
        <v>43</v>
      </c>
      <c r="H255" s="242"/>
      <c r="I255" s="242"/>
      <c r="J255" s="241"/>
      <c r="K255" s="243" t="s">
        <v>44</v>
      </c>
      <c r="L255" s="242" t="s">
        <v>45</v>
      </c>
      <c r="M255" s="242"/>
      <c r="N255" s="241"/>
      <c r="U255" s="232" t="s">
        <v>98</v>
      </c>
      <c r="V255" s="232" t="s">
        <v>99</v>
      </c>
    </row>
    <row r="256" spans="1:22" ht="15.75" hidden="1" thickBot="1">
      <c r="A256" s="52" t="s">
        <v>46</v>
      </c>
      <c r="B256" s="52" t="s">
        <v>47</v>
      </c>
      <c r="C256" s="54" t="s">
        <v>48</v>
      </c>
      <c r="D256" s="54" t="s">
        <v>49</v>
      </c>
      <c r="E256" s="55" t="s">
        <v>50</v>
      </c>
      <c r="F256" s="55" t="s">
        <v>51</v>
      </c>
      <c r="G256" s="56" t="s">
        <v>52</v>
      </c>
      <c r="H256" s="43" t="s">
        <v>105</v>
      </c>
      <c r="I256" s="124" t="s">
        <v>106</v>
      </c>
      <c r="J256" s="43" t="s">
        <v>53</v>
      </c>
      <c r="K256" s="244"/>
      <c r="L256" s="53" t="s">
        <v>54</v>
      </c>
      <c r="M256" s="43" t="s">
        <v>55</v>
      </c>
      <c r="N256" s="57" t="s">
        <v>56</v>
      </c>
      <c r="U256" s="232"/>
      <c r="V256" s="232"/>
    </row>
    <row r="257" spans="1:22" ht="15" hidden="1">
      <c r="A257" s="191" t="str">
        <f>IF(N253="","",N253)</f>
        <v>P32</v>
      </c>
      <c r="B257" s="164" t="s">
        <v>139</v>
      </c>
      <c r="C257" s="165">
        <v>30</v>
      </c>
      <c r="D257" s="165">
        <v>6</v>
      </c>
      <c r="E257" s="166">
        <v>110</v>
      </c>
      <c r="F257" s="193">
        <f>IF($N$242="","",IF($N$242="INDUSTRIAL",IF(OR($D$240="",$D$246=""),"",IF(OR(D257&gt;$D$247,E257&gt;$D$248),"Rev. Total. abona.",IF(D257="",IF(E257="","",E257/(0.92*1000)),IF(OR($D$240="SAN CRISTOBAL",$D$240="FLOREANA"),VLOOKUP(D257,'Estratos SCY - FLO'!$A$4:$M$108,IF($D$246="A1",2,IF($D$246="A",5,IF($D$246="B",8,11))))+E257/(0.92*1000),VLOOKUP(D257,'Estratos SCX - ISA'!$A$3:$M$107,IF($D$246="A1",2,IF($D$246="A",5,IF($D$246="B",8,11))))+E257/(0.92*1000))))),IF(OR($D$240="",$D$246=""),"",IF(OR(D257&gt;$D$247,E257&gt;$D$248),"Rev. Total. abona.",IF(D257="",IF(E257="","",E257/(0.92*1000)),IF(OR($D$240="SAN CRISTOBAL",$D$240="FLOREANA"),VLOOKUP(D257,'Estratos SCY - FLO'!$O$4:$S$108,IF($D$246="A1",2,IF($D$246="A",3,IF($D$246="B",4,5))))+E257/(0.92*1000),VLOOKUP(D257,'Estratos SCX - ISA'!$O$4:$S$108,IF($D$246="A1",2,IF($D$246="A",3,IF($D$246="B",4,5))))+E257/(0.92*1000)))))))</f>
        <v>27.84749639575231</v>
      </c>
      <c r="G257" s="95">
        <f>IF(OR($N$10="",C257=""),"",IF($N$10="1F",1,3))</f>
        <v>1</v>
      </c>
      <c r="H257" s="182" t="s">
        <v>0</v>
      </c>
      <c r="I257" s="182" t="s">
        <v>0</v>
      </c>
      <c r="J257" s="95">
        <f>IF(OR(H257="",$D$10="",$N$10=""),"",IF($D$10="COBRE",VLOOKUP(CDV_PROY_BT!H257,FDV!$B$16:$E$24,IF(CDV_PROY_BT!$N$10="3F",3,4),FALSE),IF($D$10="ACS",VLOOKUP(CDV_PROY_BT!H257,FDV!$B$10:$E$15,IF(CDV_PROY_BT!$N$10="3F",3,4),FALSE),IF($D$10="5005 (PREENSAMBLADO)",VLOOKUP(CDV_PROY_BT!H257,FDV!$B$4:$E$9,IF(CDV_PROY_BT!$N$10="3F",3,4),FALSE),VLOOKUP(CDV_PROY_BT!H257,FDV!$B$25:$E$30,IF(CDV_PROY_BT!$N$10="3F",3,4),FALSE)))))</f>
        <v>412</v>
      </c>
      <c r="K257" s="60">
        <f aca="true" t="shared" si="36" ref="K257:K284">IF(C257="","",ROUND(F257*C257,0))</f>
        <v>835</v>
      </c>
      <c r="L257" s="61">
        <f>IF($N$19="","",IF(C257="","",ROUND(K257/J257,2)))</f>
        <v>2.03</v>
      </c>
      <c r="M257" s="61">
        <f>IF(C257="","",VLOOKUP(A257,$B$257:$N$284,12,FALSE)+L257+N252)</f>
        <v>2.03</v>
      </c>
      <c r="N257" s="154">
        <f>+M257</f>
        <v>2.03</v>
      </c>
      <c r="U257" s="138">
        <f aca="true" t="shared" si="37" ref="U257:U283">+IF(C257="",0,C257)</f>
        <v>30</v>
      </c>
      <c r="V257" s="138">
        <f aca="true" t="shared" si="38" ref="V257:V283">IF(OR(C257="",G257=""),0,C257*G257)</f>
        <v>30</v>
      </c>
    </row>
    <row r="258" spans="1:22" ht="15" hidden="1">
      <c r="A258" s="167" t="s">
        <v>141</v>
      </c>
      <c r="B258" s="168" t="s">
        <v>142</v>
      </c>
      <c r="C258" s="169">
        <v>30</v>
      </c>
      <c r="D258" s="169">
        <v>3</v>
      </c>
      <c r="E258" s="170">
        <v>220</v>
      </c>
      <c r="F258" s="62">
        <f>IF($N$242="","",IF($N$242="INDUSTRIAL",IF(OR($D$240="",$D$246=""),"",IF(OR(D258&gt;$D$247,E258&gt;$D$248),"Rev. Total. abona.",IF(D258="",IF(E258="","",E258/(0.92*1000)),IF(OR($D$240="SAN CRISTOBAL",$D$240="FLOREANA"),VLOOKUP(D258,'Estratos SCY - FLO'!$A$4:$M$108,IF($D$246="A1",2,IF($D$246="A",5,IF($D$246="B",8,11))))+E258/(0.92*1000),VLOOKUP(D258,'Estratos SCX - ISA'!$A$3:$M$107,IF($D$246="A1",2,IF($D$246="A",5,IF($D$246="B",8,11))))+E258/(0.92*1000))))),IF(OR($D$240="",$D$246=""),"",IF(OR(D258&gt;$D$247,E258&gt;$D$248),"Rev. Total. abona.",IF(D258="",IF(E258="","",E258/(0.92*1000)),IF(OR($D$240="SAN CRISTOBAL",$D$240="FLOREANA"),VLOOKUP(D258,'Estratos SCY - FLO'!$O$4:$S$108,IF($D$246="A1",2,IF($D$246="A",3,IF($D$246="B",4,5))))+E258/(0.92*1000),VLOOKUP(D258,'Estratos SCX - ISA'!$O$4:$S$108,IF($D$246="A1",2,IF($D$246="A",3,IF($D$246="B",4,5))))+E258/(0.92*1000)))))))</f>
        <v>14.995522018465765</v>
      </c>
      <c r="G258" s="59">
        <f aca="true" t="shared" si="39" ref="G258:G284">IF(OR($N$10="",C258=""),"",IF($N$10="1F",1,3))</f>
        <v>1</v>
      </c>
      <c r="H258" s="183" t="s">
        <v>0</v>
      </c>
      <c r="I258" s="183" t="s">
        <v>0</v>
      </c>
      <c r="J258" s="59">
        <f>IF(OR(H258="",$D$10="",$N$10=""),"",IF($D$10="COBRE",VLOOKUP(CDV_PROY_BT!H258,FDV!$B$16:$E$24,IF(CDV_PROY_BT!$N$10="3F",3,4),FALSE),IF($D$10="ACS",VLOOKUP(CDV_PROY_BT!H258,FDV!$B$10:$E$15,IF(CDV_PROY_BT!$N$10="3F",3,4),FALSE),IF($D$10="5005 (PREENSAMBLADO)",VLOOKUP(CDV_PROY_BT!H258,FDV!$B$4:$E$9,IF(CDV_PROY_BT!$N$10="3F",3,4),FALSE),VLOOKUP(CDV_PROY_BT!H258,FDV!$B$25:$E$30,IF(CDV_PROY_BT!$N$10="3F",3,4),FALSE)))))</f>
        <v>412</v>
      </c>
      <c r="K258" s="63">
        <f t="shared" si="36"/>
        <v>450</v>
      </c>
      <c r="L258" s="62">
        <f aca="true" t="shared" si="40" ref="L258:L283">IF($N$19="","",IF(C258="","",ROUND(K258/J258,2)))</f>
        <v>1.09</v>
      </c>
      <c r="M258" s="62">
        <f aca="true" t="shared" si="41" ref="M258:M283">IF(C258="","",VLOOKUP(A258,$B$257:$N$284,12,FALSE)+L258)</f>
        <v>1.09</v>
      </c>
      <c r="N258" s="155"/>
      <c r="U258" s="138">
        <f t="shared" si="37"/>
        <v>30</v>
      </c>
      <c r="V258" s="138">
        <f t="shared" si="38"/>
        <v>30</v>
      </c>
    </row>
    <row r="259" spans="1:22" ht="15" hidden="1">
      <c r="A259" s="167" t="s">
        <v>142</v>
      </c>
      <c r="B259" s="168" t="s">
        <v>153</v>
      </c>
      <c r="C259" s="169">
        <v>32</v>
      </c>
      <c r="D259" s="169"/>
      <c r="E259" s="170">
        <v>110</v>
      </c>
      <c r="F259" s="58">
        <f>IF($N$242="","",IF($N$242="INDUSTRIAL",IF(OR($D$240="",$D$246=""),"",IF(OR(D259&gt;$D$247,E259&gt;$D$248),"Rev. Total. abona.",IF(D259="",IF(E259="","",E259/(0.92*1000)),IF(OR($D$240="SAN CRISTOBAL",$D$240="FLOREANA"),VLOOKUP(D259,'Estratos SCY - FLO'!$A$4:$M$108,IF($D$246="A1",2,IF($D$246="A",5,IF($D$246="B",8,11))))+E259/(0.92*1000),VLOOKUP(D259,'Estratos SCX - ISA'!$A$3:$M$107,IF($D$246="A1",2,IF($D$246="A",5,IF($D$246="B",8,11))))+E259/(0.92*1000))))),IF(OR($D$240="",$D$246=""),"",IF(OR(D259&gt;$D$247,E259&gt;$D$248),"Rev. Total. abona.",IF(D259="",IF(E259="","",E259/(0.92*1000)),IF(OR($D$240="SAN CRISTOBAL",$D$240="FLOREANA"),VLOOKUP(D259,'Estratos SCY - FLO'!$O$4:$S$108,IF($D$246="A1",2,IF($D$246="A",3,IF($D$246="B",4,5))))+E259/(0.92*1000),VLOOKUP(D259,'Estratos SCX - ISA'!$O$4:$S$108,IF($D$246="A1",2,IF($D$246="A",3,IF($D$246="B",4,5))))+E259/(0.92*1000)))))))</f>
        <v>0.11956521739130435</v>
      </c>
      <c r="G259" s="59">
        <f t="shared" si="39"/>
        <v>1</v>
      </c>
      <c r="H259" s="183" t="s">
        <v>0</v>
      </c>
      <c r="I259" s="183" t="s">
        <v>0</v>
      </c>
      <c r="J259" s="59">
        <f>IF(OR(H259="",$D$10="",$N$10=""),"",IF($D$10="COBRE",VLOOKUP(CDV_PROY_BT!H259,FDV!$B$16:$E$24,IF(CDV_PROY_BT!$N$10="3F",3,4),FALSE),IF($D$10="ACS",VLOOKUP(CDV_PROY_BT!H259,FDV!$B$10:$E$15,IF(CDV_PROY_BT!$N$10="3F",3,4),FALSE),IF($D$10="5005 (PREENSAMBLADO)",VLOOKUP(CDV_PROY_BT!H259,FDV!$B$4:$E$9,IF(CDV_PROY_BT!$N$10="3F",3,4),FALSE),VLOOKUP(CDV_PROY_BT!H259,FDV!$B$25:$E$30,IF(CDV_PROY_BT!$N$10="3F",3,4),FALSE)))))</f>
        <v>412</v>
      </c>
      <c r="K259" s="63">
        <f t="shared" si="36"/>
        <v>4</v>
      </c>
      <c r="L259" s="62">
        <f t="shared" si="40"/>
        <v>0.01</v>
      </c>
      <c r="M259" s="62">
        <f t="shared" si="41"/>
        <v>1.1</v>
      </c>
      <c r="N259" s="155">
        <f>+M259</f>
        <v>1.1</v>
      </c>
      <c r="U259" s="138">
        <f t="shared" si="37"/>
        <v>32</v>
      </c>
      <c r="V259" s="138">
        <f t="shared" si="38"/>
        <v>32</v>
      </c>
    </row>
    <row r="260" spans="1:22" ht="15" hidden="1">
      <c r="A260" s="167"/>
      <c r="B260" s="168"/>
      <c r="C260" s="169"/>
      <c r="D260" s="169"/>
      <c r="E260" s="170"/>
      <c r="F260" s="58" t="str">
        <f>IF($N$242="","",IF($N$242="INDUSTRIAL",IF(OR($D$240="",$D$246=""),"",IF(OR(D260&gt;$D$247,E260&gt;$D$248),"Rev. Total. abona.",IF(D260="",IF(E260="","",E260/(0.92*1000)),IF(OR($D$240="SAN CRISTOBAL",$D$240="FLOREANA"),VLOOKUP(D260,'Estratos SCY - FLO'!$A$4:$M$108,IF($D$246="A1",2,IF($D$246="A",5,IF($D$246="B",8,11))))+E260/(0.92*1000),VLOOKUP(D260,'Estratos SCX - ISA'!$A$3:$M$107,IF($D$246="A1",2,IF($D$246="A",5,IF($D$246="B",8,11))))+E260/(0.92*1000))))),IF(OR($D$240="",$D$246=""),"",IF(OR(D260&gt;$D$247,E260&gt;$D$248),"Rev. Total. abona.",IF(D260="",IF(E260="","",E260/(0.92*1000)),IF(OR($D$240="SAN CRISTOBAL",$D$240="FLOREANA"),VLOOKUP(D260,'Estratos SCY - FLO'!$O$4:$S$108,IF($D$246="A1",2,IF($D$246="A",3,IF($D$246="B",4,5))))+E260/(0.92*1000),VLOOKUP(D260,'Estratos SCX - ISA'!$O$4:$S$108,IF($D$246="A1",2,IF($D$246="A",3,IF($D$246="B",4,5))))+E260/(0.92*1000)))))))</f>
        <v/>
      </c>
      <c r="G260" s="59" t="str">
        <f t="shared" si="39"/>
        <v/>
      </c>
      <c r="H260" s="183"/>
      <c r="I260" s="183"/>
      <c r="J260" s="59" t="str">
        <f>IF(OR(H260="",$D$10="",$N$10=""),"",IF($D$10="COBRE",VLOOKUP(CDV_PROY_BT!H260,FDV!$B$16:$E$24,IF(CDV_PROY_BT!$N$10="3F",3,4),FALSE),IF($D$10="ACS",VLOOKUP(CDV_PROY_BT!H260,FDV!$B$10:$E$15,IF(CDV_PROY_BT!$N$10="3F",3,4),FALSE),IF($D$10="5005 (PREENSAMBLADO)",VLOOKUP(CDV_PROY_BT!H260,FDV!$B$4:$E$9,IF(CDV_PROY_BT!$N$10="3F",3,4),FALSE),VLOOKUP(CDV_PROY_BT!H260,FDV!$B$25:$E$30,IF(CDV_PROY_BT!$N$10="3F",3,4),FALSE)))))</f>
        <v/>
      </c>
      <c r="K260" s="63" t="str">
        <f t="shared" si="36"/>
        <v/>
      </c>
      <c r="L260" s="62" t="str">
        <f t="shared" si="40"/>
        <v/>
      </c>
      <c r="M260" s="62" t="str">
        <f t="shared" si="41"/>
        <v/>
      </c>
      <c r="N260" s="155"/>
      <c r="U260" s="138">
        <f t="shared" si="37"/>
        <v>0</v>
      </c>
      <c r="V260" s="138">
        <f t="shared" si="38"/>
        <v>0</v>
      </c>
    </row>
    <row r="261" spans="1:22" ht="15" hidden="1">
      <c r="A261" s="167"/>
      <c r="B261" s="168"/>
      <c r="C261" s="169"/>
      <c r="D261" s="169"/>
      <c r="E261" s="170"/>
      <c r="F261" s="58" t="str">
        <f>IF($N$242="","",IF($N$242="INDUSTRIAL",IF(OR($D$240="",$D$246=""),"",IF(OR(D261&gt;$D$247,E261&gt;$D$248),"Rev. Total. abona.",IF(D261="",IF(E261="","",E261/(0.92*1000)),IF(OR($D$240="SAN CRISTOBAL",$D$240="FLOREANA"),VLOOKUP(D261,'Estratos SCY - FLO'!$A$4:$M$108,IF($D$246="A1",2,IF($D$246="A",5,IF($D$246="B",8,11))))+E261/(0.92*1000),VLOOKUP(D261,'Estratos SCX - ISA'!$A$3:$M$107,IF($D$246="A1",2,IF($D$246="A",5,IF($D$246="B",8,11))))+E261/(0.92*1000))))),IF(OR($D$240="",$D$246=""),"",IF(OR(D261&gt;$D$247,E261&gt;$D$248),"Rev. Total. abona.",IF(D261="",IF(E261="","",E261/(0.92*1000)),IF(OR($D$240="SAN CRISTOBAL",$D$240="FLOREANA"),VLOOKUP(D261,'Estratos SCY - FLO'!$O$4:$S$108,IF($D$246="A1",2,IF($D$246="A",3,IF($D$246="B",4,5))))+E261/(0.92*1000),VLOOKUP(D261,'Estratos SCX - ISA'!$O$4:$S$108,IF($D$246="A1",2,IF($D$246="A",3,IF($D$246="B",4,5))))+E261/(0.92*1000)))))))</f>
        <v/>
      </c>
      <c r="G261" s="59" t="str">
        <f t="shared" si="39"/>
        <v/>
      </c>
      <c r="H261" s="183"/>
      <c r="I261" s="183"/>
      <c r="J261" s="59" t="str">
        <f>IF(OR(H261="",$D$10="",$N$10=""),"",IF($D$10="COBRE",VLOOKUP(CDV_PROY_BT!H261,FDV!$B$16:$E$24,IF(CDV_PROY_BT!$N$10="3F",3,4),FALSE),IF($D$10="ACS",VLOOKUP(CDV_PROY_BT!H261,FDV!$B$10:$E$15,IF(CDV_PROY_BT!$N$10="3F",3,4),FALSE),IF($D$10="5005 (PREENSAMBLADO)",VLOOKUP(CDV_PROY_BT!H261,FDV!$B$4:$E$9,IF(CDV_PROY_BT!$N$10="3F",3,4),FALSE),VLOOKUP(CDV_PROY_BT!H261,FDV!$B$25:$E$30,IF(CDV_PROY_BT!$N$10="3F",3,4),FALSE)))))</f>
        <v/>
      </c>
      <c r="K261" s="63" t="str">
        <f t="shared" si="36"/>
        <v/>
      </c>
      <c r="L261" s="62" t="str">
        <f t="shared" si="40"/>
        <v/>
      </c>
      <c r="M261" s="62" t="str">
        <f t="shared" si="41"/>
        <v/>
      </c>
      <c r="N261" s="155"/>
      <c r="U261" s="138">
        <f t="shared" si="37"/>
        <v>0</v>
      </c>
      <c r="V261" s="138">
        <f t="shared" si="38"/>
        <v>0</v>
      </c>
    </row>
    <row r="262" spans="1:22" ht="15" hidden="1">
      <c r="A262" s="167"/>
      <c r="B262" s="168"/>
      <c r="C262" s="169"/>
      <c r="D262" s="169"/>
      <c r="E262" s="170"/>
      <c r="F262" s="58" t="str">
        <f>IF($N$242="","",IF($N$242="INDUSTRIAL",IF(OR($D$240="",$D$246=""),"",IF(OR(D262&gt;$D$247,E262&gt;$D$248),"Rev. Total. abona.",IF(D262="",IF(E262="","",E262/(0.92*1000)),IF(OR($D$240="SAN CRISTOBAL",$D$240="FLOREANA"),VLOOKUP(D262,'Estratos SCY - FLO'!$A$4:$M$108,IF($D$246="A1",2,IF($D$246="A",5,IF($D$246="B",8,11))))+E262/(0.92*1000),VLOOKUP(D262,'Estratos SCX - ISA'!$A$3:$M$107,IF($D$246="A1",2,IF($D$246="A",5,IF($D$246="B",8,11))))+E262/(0.92*1000))))),IF(OR($D$240="",$D$246=""),"",IF(OR(D262&gt;$D$247,E262&gt;$D$248),"Rev. Total. abona.",IF(D262="",IF(E262="","",E262/(0.92*1000)),IF(OR($D$240="SAN CRISTOBAL",$D$240="FLOREANA"),VLOOKUP(D262,'Estratos SCY - FLO'!$O$4:$S$108,IF($D$246="A1",2,IF($D$246="A",3,IF($D$246="B",4,5))))+E262/(0.92*1000),VLOOKUP(D262,'Estratos SCX - ISA'!$O$4:$S$108,IF($D$246="A1",2,IF($D$246="A",3,IF($D$246="B",4,5))))+E262/(0.92*1000)))))))</f>
        <v/>
      </c>
      <c r="G262" s="59" t="str">
        <f t="shared" si="39"/>
        <v/>
      </c>
      <c r="H262" s="183"/>
      <c r="I262" s="183"/>
      <c r="J262" s="59" t="str">
        <f>IF(OR(H262="",$D$10="",$N$10=""),"",IF($D$10="COBRE",VLOOKUP(CDV_PROY_BT!H262,FDV!$B$16:$E$24,IF(CDV_PROY_BT!$N$10="3F",3,4),FALSE),IF($D$10="ACS",VLOOKUP(CDV_PROY_BT!H262,FDV!$B$10:$E$15,IF(CDV_PROY_BT!$N$10="3F",3,4),FALSE),IF($D$10="5005 (PREENSAMBLADO)",VLOOKUP(CDV_PROY_BT!H262,FDV!$B$4:$E$9,IF(CDV_PROY_BT!$N$10="3F",3,4),FALSE),VLOOKUP(CDV_PROY_BT!H262,FDV!$B$25:$E$30,IF(CDV_PROY_BT!$N$10="3F",3,4),FALSE)))))</f>
        <v/>
      </c>
      <c r="K262" s="63" t="str">
        <f t="shared" si="36"/>
        <v/>
      </c>
      <c r="L262" s="62" t="str">
        <f t="shared" si="40"/>
        <v/>
      </c>
      <c r="M262" s="62" t="str">
        <f t="shared" si="41"/>
        <v/>
      </c>
      <c r="N262" s="155"/>
      <c r="U262" s="138">
        <f t="shared" si="37"/>
        <v>0</v>
      </c>
      <c r="V262" s="138">
        <f t="shared" si="38"/>
        <v>0</v>
      </c>
    </row>
    <row r="263" spans="1:22" ht="15" hidden="1">
      <c r="A263" s="167"/>
      <c r="B263" s="168"/>
      <c r="C263" s="169"/>
      <c r="D263" s="169"/>
      <c r="E263" s="170"/>
      <c r="F263" s="58" t="str">
        <f>IF($N$242="","",IF($N$242="INDUSTRIAL",IF(OR($D$240="",$D$246=""),"",IF(OR(D263&gt;$D$247,E263&gt;$D$248),"Rev. Total. abona.",IF(D263="",IF(E263="","",E263/(0.92*1000)),IF(OR($D$240="SAN CRISTOBAL",$D$240="FLOREANA"),VLOOKUP(D263,'Estratos SCY - FLO'!$A$4:$M$108,IF($D$246="A1",2,IF($D$246="A",5,IF($D$246="B",8,11))))+E263/(0.92*1000),VLOOKUP(D263,'Estratos SCX - ISA'!$A$3:$M$107,IF($D$246="A1",2,IF($D$246="A",5,IF($D$246="B",8,11))))+E263/(0.92*1000))))),IF(OR($D$240="",$D$246=""),"",IF(OR(D263&gt;$D$247,E263&gt;$D$248),"Rev. Total. abona.",IF(D263="",IF(E263="","",E263/(0.92*1000)),IF(OR($D$240="SAN CRISTOBAL",$D$240="FLOREANA"),VLOOKUP(D263,'Estratos SCY - FLO'!$O$4:$S$108,IF($D$246="A1",2,IF($D$246="A",3,IF($D$246="B",4,5))))+E263/(0.92*1000),VLOOKUP(D263,'Estratos SCX - ISA'!$O$4:$S$108,IF($D$246="A1",2,IF($D$246="A",3,IF($D$246="B",4,5))))+E263/(0.92*1000)))))))</f>
        <v/>
      </c>
      <c r="G263" s="59" t="str">
        <f t="shared" si="39"/>
        <v/>
      </c>
      <c r="H263" s="183"/>
      <c r="I263" s="183"/>
      <c r="J263" s="59" t="str">
        <f>IF(OR(H263="",$D$10="",$N$10=""),"",IF($D$10="COBRE",VLOOKUP(CDV_PROY_BT!H263,FDV!$B$16:$E$24,IF(CDV_PROY_BT!$N$10="3F",3,4),FALSE),IF($D$10="ACS",VLOOKUP(CDV_PROY_BT!H263,FDV!$B$10:$E$15,IF(CDV_PROY_BT!$N$10="3F",3,4),FALSE),IF($D$10="5005 (PREENSAMBLADO)",VLOOKUP(CDV_PROY_BT!H263,FDV!$B$4:$E$9,IF(CDV_PROY_BT!$N$10="3F",3,4),FALSE),VLOOKUP(CDV_PROY_BT!H263,FDV!$B$25:$E$30,IF(CDV_PROY_BT!$N$10="3F",3,4),FALSE)))))</f>
        <v/>
      </c>
      <c r="K263" s="63" t="str">
        <f t="shared" si="36"/>
        <v/>
      </c>
      <c r="L263" s="62" t="str">
        <f t="shared" si="40"/>
        <v/>
      </c>
      <c r="M263" s="62" t="str">
        <f t="shared" si="41"/>
        <v/>
      </c>
      <c r="N263" s="155"/>
      <c r="U263" s="138">
        <f t="shared" si="37"/>
        <v>0</v>
      </c>
      <c r="V263" s="138">
        <f t="shared" si="38"/>
        <v>0</v>
      </c>
    </row>
    <row r="264" spans="1:22" ht="15" hidden="1">
      <c r="A264" s="167"/>
      <c r="B264" s="168"/>
      <c r="C264" s="169"/>
      <c r="D264" s="169"/>
      <c r="E264" s="170"/>
      <c r="F264" s="58" t="str">
        <f>IF($N$242="","",IF($N$242="INDUSTRIAL",IF(OR($D$240="",$D$246=""),"",IF(OR(D264&gt;$D$247,E264&gt;$D$248),"Rev. Total. abona.",IF(D264="",IF(E264="","",E264/(0.92*1000)),IF(OR($D$240="SAN CRISTOBAL",$D$240="FLOREANA"),VLOOKUP(D264,'Estratos SCY - FLO'!$A$4:$M$108,IF($D$246="A1",2,IF($D$246="A",5,IF($D$246="B",8,11))))+E264/(0.92*1000),VLOOKUP(D264,'Estratos SCX - ISA'!$A$3:$M$107,IF($D$246="A1",2,IF($D$246="A",5,IF($D$246="B",8,11))))+E264/(0.92*1000))))),IF(OR($D$240="",$D$246=""),"",IF(OR(D264&gt;$D$247,E264&gt;$D$248),"Rev. Total. abona.",IF(D264="",IF(E264="","",E264/(0.92*1000)),IF(OR($D$240="SAN CRISTOBAL",$D$240="FLOREANA"),VLOOKUP(D264,'Estratos SCY - FLO'!$O$4:$S$108,IF($D$246="A1",2,IF($D$246="A",3,IF($D$246="B",4,5))))+E264/(0.92*1000),VLOOKUP(D264,'Estratos SCX - ISA'!$O$4:$S$108,IF($D$246="A1",2,IF($D$246="A",3,IF($D$246="B",4,5))))+E264/(0.92*1000)))))))</f>
        <v/>
      </c>
      <c r="G264" s="59" t="str">
        <f t="shared" si="39"/>
        <v/>
      </c>
      <c r="H264" s="183"/>
      <c r="I264" s="183"/>
      <c r="J264" s="59" t="str">
        <f>IF(OR(H264="",$D$10="",$N$10=""),"",IF($D$10="COBRE",VLOOKUP(CDV_PROY_BT!H264,FDV!$B$16:$E$24,IF(CDV_PROY_BT!$N$10="3F",3,4),FALSE),IF($D$10="ACS",VLOOKUP(CDV_PROY_BT!H264,FDV!$B$10:$E$15,IF(CDV_PROY_BT!$N$10="3F",3,4),FALSE),IF($D$10="5005 (PREENSAMBLADO)",VLOOKUP(CDV_PROY_BT!H264,FDV!$B$4:$E$9,IF(CDV_PROY_BT!$N$10="3F",3,4),FALSE),VLOOKUP(CDV_PROY_BT!H264,FDV!$B$25:$E$30,IF(CDV_PROY_BT!$N$10="3F",3,4),FALSE)))))</f>
        <v/>
      </c>
      <c r="K264" s="63" t="str">
        <f t="shared" si="36"/>
        <v/>
      </c>
      <c r="L264" s="62" t="str">
        <f t="shared" si="40"/>
        <v/>
      </c>
      <c r="M264" s="62" t="str">
        <f t="shared" si="41"/>
        <v/>
      </c>
      <c r="N264" s="155"/>
      <c r="U264" s="138">
        <f t="shared" si="37"/>
        <v>0</v>
      </c>
      <c r="V264" s="138">
        <f t="shared" si="38"/>
        <v>0</v>
      </c>
    </row>
    <row r="265" spans="1:22" ht="15" hidden="1">
      <c r="A265" s="171"/>
      <c r="B265" s="172"/>
      <c r="C265" s="173"/>
      <c r="D265" s="173"/>
      <c r="E265" s="170"/>
      <c r="F265" s="58" t="str">
        <f>IF($N$242="","",IF($N$242="INDUSTRIAL",IF(OR($D$240="",$D$246=""),"",IF(OR(D265&gt;$D$247,E265&gt;$D$248),"Rev. Total. abona.",IF(D265="",IF(E265="","",E265/(0.92*1000)),IF(OR($D$240="SAN CRISTOBAL",$D$240="FLOREANA"),VLOOKUP(D265,'Estratos SCY - FLO'!$A$4:$M$108,IF($D$246="A1",2,IF($D$246="A",5,IF($D$246="B",8,11))))+E265/(0.92*1000),VLOOKUP(D265,'Estratos SCX - ISA'!$A$3:$M$107,IF($D$246="A1",2,IF($D$246="A",5,IF($D$246="B",8,11))))+E265/(0.92*1000))))),IF(OR($D$240="",$D$246=""),"",IF(OR(D265&gt;$D$247,E265&gt;$D$248),"Rev. Total. abona.",IF(D265="",IF(E265="","",E265/(0.92*1000)),IF(OR($D$240="SAN CRISTOBAL",$D$240="FLOREANA"),VLOOKUP(D265,'Estratos SCY - FLO'!$O$4:$S$108,IF($D$246="A1",2,IF($D$246="A",3,IF($D$246="B",4,5))))+E265/(0.92*1000),VLOOKUP(D265,'Estratos SCX - ISA'!$O$4:$S$108,IF($D$246="A1",2,IF($D$246="A",3,IF($D$246="B",4,5))))+E265/(0.92*1000)))))))</f>
        <v/>
      </c>
      <c r="G265" s="59" t="str">
        <f t="shared" si="39"/>
        <v/>
      </c>
      <c r="H265" s="183"/>
      <c r="I265" s="183"/>
      <c r="J265" s="59" t="str">
        <f>IF(OR(H265="",$D$10="",$N$10=""),"",IF($D$10="COBRE",VLOOKUP(CDV_PROY_BT!H265,FDV!$B$16:$E$24,IF(CDV_PROY_BT!$N$10="3F",3,4),FALSE),IF($D$10="ACS",VLOOKUP(CDV_PROY_BT!H265,FDV!$B$10:$E$15,IF(CDV_PROY_BT!$N$10="3F",3,4),FALSE),IF($D$10="5005 (PREENSAMBLADO)",VLOOKUP(CDV_PROY_BT!H265,FDV!$B$4:$E$9,IF(CDV_PROY_BT!$N$10="3F",3,4),FALSE),VLOOKUP(CDV_PROY_BT!H265,FDV!$B$25:$E$30,IF(CDV_PROY_BT!$N$10="3F",3,4),FALSE)))))</f>
        <v/>
      </c>
      <c r="K265" s="63" t="str">
        <f t="shared" si="36"/>
        <v/>
      </c>
      <c r="L265" s="62" t="str">
        <f t="shared" si="40"/>
        <v/>
      </c>
      <c r="M265" s="62" t="str">
        <f t="shared" si="41"/>
        <v/>
      </c>
      <c r="N265" s="155"/>
      <c r="U265" s="138">
        <f t="shared" si="37"/>
        <v>0</v>
      </c>
      <c r="V265" s="138">
        <f t="shared" si="38"/>
        <v>0</v>
      </c>
    </row>
    <row r="266" spans="1:22" ht="15" hidden="1">
      <c r="A266" s="167"/>
      <c r="B266" s="168"/>
      <c r="C266" s="169"/>
      <c r="D266" s="169"/>
      <c r="E266" s="174"/>
      <c r="F266" s="58" t="str">
        <f>IF($N$242="","",IF($N$242="INDUSTRIAL",IF(OR($D$240="",$D$246=""),"",IF(OR(D266&gt;$D$247,E266&gt;$D$248),"Rev. Total. abona.",IF(D266="",IF(E266="","",E266/(0.92*1000)),IF(OR($D$240="SAN CRISTOBAL",$D$240="FLOREANA"),VLOOKUP(D266,'Estratos SCY - FLO'!$A$4:$M$108,IF($D$246="A1",2,IF($D$246="A",5,IF($D$246="B",8,11))))+E266/(0.92*1000),VLOOKUP(D266,'Estratos SCX - ISA'!$A$3:$M$107,IF($D$246="A1",2,IF($D$246="A",5,IF($D$246="B",8,11))))+E266/(0.92*1000))))),IF(OR($D$240="",$D$246=""),"",IF(OR(D266&gt;$D$247,E266&gt;$D$248),"Rev. Total. abona.",IF(D266="",IF(E266="","",E266/(0.92*1000)),IF(OR($D$240="SAN CRISTOBAL",$D$240="FLOREANA"),VLOOKUP(D266,'Estratos SCY - FLO'!$O$4:$S$108,IF($D$246="A1",2,IF($D$246="A",3,IF($D$246="B",4,5))))+E266/(0.92*1000),VLOOKUP(D266,'Estratos SCX - ISA'!$O$4:$S$108,IF($D$246="A1",2,IF($D$246="A",3,IF($D$246="B",4,5))))+E266/(0.92*1000)))))))</f>
        <v/>
      </c>
      <c r="G266" s="59" t="str">
        <f t="shared" si="39"/>
        <v/>
      </c>
      <c r="H266" s="183"/>
      <c r="I266" s="183"/>
      <c r="J266" s="59" t="str">
        <f>IF(OR(H266="",$D$10="",$N$10=""),"",IF($D$10="COBRE",VLOOKUP(CDV_PROY_BT!H266,FDV!$B$16:$E$24,IF(CDV_PROY_BT!$N$10="3F",3,4),FALSE),IF($D$10="ACS",VLOOKUP(CDV_PROY_BT!H266,FDV!$B$10:$E$15,IF(CDV_PROY_BT!$N$10="3F",3,4),FALSE),IF($D$10="5005 (PREENSAMBLADO)",VLOOKUP(CDV_PROY_BT!H266,FDV!$B$4:$E$9,IF(CDV_PROY_BT!$N$10="3F",3,4),FALSE),VLOOKUP(CDV_PROY_BT!H266,FDV!$B$25:$E$30,IF(CDV_PROY_BT!$N$10="3F",3,4),FALSE)))))</f>
        <v/>
      </c>
      <c r="K266" s="63" t="str">
        <f t="shared" si="36"/>
        <v/>
      </c>
      <c r="L266" s="62" t="str">
        <f t="shared" si="40"/>
        <v/>
      </c>
      <c r="M266" s="62" t="str">
        <f t="shared" si="41"/>
        <v/>
      </c>
      <c r="N266" s="155"/>
      <c r="U266" s="138">
        <f t="shared" si="37"/>
        <v>0</v>
      </c>
      <c r="V266" s="138">
        <f t="shared" si="38"/>
        <v>0</v>
      </c>
    </row>
    <row r="267" spans="1:22" ht="15" hidden="1">
      <c r="A267" s="175"/>
      <c r="B267" s="176"/>
      <c r="C267" s="177"/>
      <c r="D267" s="177"/>
      <c r="E267" s="170"/>
      <c r="F267" s="58" t="str">
        <f>IF($N$242="","",IF($N$242="INDUSTRIAL",IF(OR($D$240="",$D$246=""),"",IF(OR(D267&gt;$D$247,E267&gt;$D$248),"Rev. Total. abona.",IF(D267="",IF(E267="","",E267/(0.92*1000)),IF(OR($D$240="SAN CRISTOBAL",$D$240="FLOREANA"),VLOOKUP(D267,'Estratos SCY - FLO'!$A$4:$M$108,IF($D$246="A1",2,IF($D$246="A",5,IF($D$246="B",8,11))))+E267/(0.92*1000),VLOOKUP(D267,'Estratos SCX - ISA'!$A$3:$M$107,IF($D$246="A1",2,IF($D$246="A",5,IF($D$246="B",8,11))))+E267/(0.92*1000))))),IF(OR($D$240="",$D$246=""),"",IF(OR(D267&gt;$D$247,E267&gt;$D$248),"Rev. Total. abona.",IF(D267="",IF(E267="","",E267/(0.92*1000)),IF(OR($D$240="SAN CRISTOBAL",$D$240="FLOREANA"),VLOOKUP(D267,'Estratos SCY - FLO'!$O$4:$S$108,IF($D$246="A1",2,IF($D$246="A",3,IF($D$246="B",4,5))))+E267/(0.92*1000),VLOOKUP(D267,'Estratos SCX - ISA'!$O$4:$S$108,IF($D$246="A1",2,IF($D$246="A",3,IF($D$246="B",4,5))))+E267/(0.92*1000)))))))</f>
        <v/>
      </c>
      <c r="G267" s="59" t="str">
        <f t="shared" si="39"/>
        <v/>
      </c>
      <c r="H267" s="183"/>
      <c r="I267" s="183"/>
      <c r="J267" s="59" t="str">
        <f>IF(OR(H267="",$D$10="",$N$10=""),"",IF($D$10="COBRE",VLOOKUP(CDV_PROY_BT!H267,FDV!$B$16:$E$24,IF(CDV_PROY_BT!$N$10="3F",3,4),FALSE),IF($D$10="ACS",VLOOKUP(CDV_PROY_BT!H267,FDV!$B$10:$E$15,IF(CDV_PROY_BT!$N$10="3F",3,4),FALSE),IF($D$10="5005 (PREENSAMBLADO)",VLOOKUP(CDV_PROY_BT!H267,FDV!$B$4:$E$9,IF(CDV_PROY_BT!$N$10="3F",3,4),FALSE),VLOOKUP(CDV_PROY_BT!H267,FDV!$B$25:$E$30,IF(CDV_PROY_BT!$N$10="3F",3,4),FALSE)))))</f>
        <v/>
      </c>
      <c r="K267" s="63" t="str">
        <f t="shared" si="36"/>
        <v/>
      </c>
      <c r="L267" s="62" t="str">
        <f t="shared" si="40"/>
        <v/>
      </c>
      <c r="M267" s="62" t="str">
        <f t="shared" si="41"/>
        <v/>
      </c>
      <c r="N267" s="155"/>
      <c r="U267" s="138">
        <f t="shared" si="37"/>
        <v>0</v>
      </c>
      <c r="V267" s="138">
        <f t="shared" si="38"/>
        <v>0</v>
      </c>
    </row>
    <row r="268" spans="1:22" ht="15" hidden="1">
      <c r="A268" s="167"/>
      <c r="B268" s="168"/>
      <c r="C268" s="169"/>
      <c r="D268" s="169"/>
      <c r="E268" s="170"/>
      <c r="F268" s="58" t="str">
        <f>IF($N$242="","",IF($N$242="INDUSTRIAL",IF(OR($D$240="",$D$246=""),"",IF(OR(D268&gt;$D$247,E268&gt;$D$248),"Rev. Total. abona.",IF(D268="",IF(E268="","",E268/(0.92*1000)),IF(OR($D$240="SAN CRISTOBAL",$D$240="FLOREANA"),VLOOKUP(D268,'Estratos SCY - FLO'!$A$4:$M$108,IF($D$246="A1",2,IF($D$246="A",5,IF($D$246="B",8,11))))+E268/(0.92*1000),VLOOKUP(D268,'Estratos SCX - ISA'!$A$3:$M$107,IF($D$246="A1",2,IF($D$246="A",5,IF($D$246="B",8,11))))+E268/(0.92*1000))))),IF(OR($D$240="",$D$246=""),"",IF(OR(D268&gt;$D$247,E268&gt;$D$248),"Rev. Total. abona.",IF(D268="",IF(E268="","",E268/(0.92*1000)),IF(OR($D$240="SAN CRISTOBAL",$D$240="FLOREANA"),VLOOKUP(D268,'Estratos SCY - FLO'!$O$4:$S$108,IF($D$246="A1",2,IF($D$246="A",3,IF($D$246="B",4,5))))+E268/(0.92*1000),VLOOKUP(D268,'Estratos SCX - ISA'!$O$4:$S$108,IF($D$246="A1",2,IF($D$246="A",3,IF($D$246="B",4,5))))+E268/(0.92*1000)))))))</f>
        <v/>
      </c>
      <c r="G268" s="59" t="str">
        <f t="shared" si="39"/>
        <v/>
      </c>
      <c r="H268" s="183"/>
      <c r="I268" s="183"/>
      <c r="J268" s="59" t="str">
        <f>IF(OR(H268="",$D$10="",$N$10=""),"",IF($D$10="COBRE",VLOOKUP(CDV_PROY_BT!H268,FDV!$B$16:$E$24,IF(CDV_PROY_BT!$N$10="3F",3,4),FALSE),IF($D$10="ACS",VLOOKUP(CDV_PROY_BT!H268,FDV!$B$10:$E$15,IF(CDV_PROY_BT!$N$10="3F",3,4),FALSE),IF($D$10="5005 (PREENSAMBLADO)",VLOOKUP(CDV_PROY_BT!H268,FDV!$B$4:$E$9,IF(CDV_PROY_BT!$N$10="3F",3,4),FALSE),VLOOKUP(CDV_PROY_BT!H268,FDV!$B$25:$E$30,IF(CDV_PROY_BT!$N$10="3F",3,4),FALSE)))))</f>
        <v/>
      </c>
      <c r="K268" s="63" t="str">
        <f t="shared" si="36"/>
        <v/>
      </c>
      <c r="L268" s="62" t="str">
        <f t="shared" si="40"/>
        <v/>
      </c>
      <c r="M268" s="62" t="str">
        <f t="shared" si="41"/>
        <v/>
      </c>
      <c r="N268" s="155"/>
      <c r="U268" s="138">
        <f t="shared" si="37"/>
        <v>0</v>
      </c>
      <c r="V268" s="138">
        <f t="shared" si="38"/>
        <v>0</v>
      </c>
    </row>
    <row r="269" spans="1:22" ht="15" hidden="1">
      <c r="A269" s="167"/>
      <c r="B269" s="168"/>
      <c r="C269" s="169"/>
      <c r="D269" s="169"/>
      <c r="E269" s="170"/>
      <c r="F269" s="58" t="str">
        <f>IF($N$242="","",IF($N$242="INDUSTRIAL",IF(OR($D$240="",$D$246=""),"",IF(OR(D269&gt;$D$247,E269&gt;$D$248),"Rev. Total. abona.",IF(D269="",IF(E269="","",E269/(0.92*1000)),IF(OR($D$240="SAN CRISTOBAL",$D$240="FLOREANA"),VLOOKUP(D269,'Estratos SCY - FLO'!$A$4:$M$108,IF($D$246="A1",2,IF($D$246="A",5,IF($D$246="B",8,11))))+E269/(0.92*1000),VLOOKUP(D269,'Estratos SCX - ISA'!$A$3:$M$107,IF($D$246="A1",2,IF($D$246="A",5,IF($D$246="B",8,11))))+E269/(0.92*1000))))),IF(OR($D$240="",$D$246=""),"",IF(OR(D269&gt;$D$247,E269&gt;$D$248),"Rev. Total. abona.",IF(D269="",IF(E269="","",E269/(0.92*1000)),IF(OR($D$240="SAN CRISTOBAL",$D$240="FLOREANA"),VLOOKUP(D269,'Estratos SCY - FLO'!$O$4:$S$108,IF($D$246="A1",2,IF($D$246="A",3,IF($D$246="B",4,5))))+E269/(0.92*1000),VLOOKUP(D269,'Estratos SCX - ISA'!$O$4:$S$108,IF($D$246="A1",2,IF($D$246="A",3,IF($D$246="B",4,5))))+E269/(0.92*1000)))))))</f>
        <v/>
      </c>
      <c r="G269" s="59" t="str">
        <f t="shared" si="39"/>
        <v/>
      </c>
      <c r="H269" s="183"/>
      <c r="I269" s="183"/>
      <c r="J269" s="59" t="str">
        <f>IF(OR(H269="",$D$10="",$N$10=""),"",IF($D$10="COBRE",VLOOKUP(CDV_PROY_BT!H269,FDV!$B$16:$E$24,IF(CDV_PROY_BT!$N$10="3F",3,4),FALSE),IF($D$10="ACS",VLOOKUP(CDV_PROY_BT!H269,FDV!$B$10:$E$15,IF(CDV_PROY_BT!$N$10="3F",3,4),FALSE),IF($D$10="5005 (PREENSAMBLADO)",VLOOKUP(CDV_PROY_BT!H269,FDV!$B$4:$E$9,IF(CDV_PROY_BT!$N$10="3F",3,4),FALSE),VLOOKUP(CDV_PROY_BT!H269,FDV!$B$25:$E$30,IF(CDV_PROY_BT!$N$10="3F",3,4),FALSE)))))</f>
        <v/>
      </c>
      <c r="K269" s="63" t="str">
        <f t="shared" si="36"/>
        <v/>
      </c>
      <c r="L269" s="62" t="str">
        <f t="shared" si="40"/>
        <v/>
      </c>
      <c r="M269" s="62" t="str">
        <f t="shared" si="41"/>
        <v/>
      </c>
      <c r="N269" s="155"/>
      <c r="U269" s="138">
        <f t="shared" si="37"/>
        <v>0</v>
      </c>
      <c r="V269" s="138">
        <f t="shared" si="38"/>
        <v>0</v>
      </c>
    </row>
    <row r="270" spans="1:22" ht="15" hidden="1">
      <c r="A270" s="167"/>
      <c r="B270" s="168"/>
      <c r="C270" s="169"/>
      <c r="D270" s="169"/>
      <c r="E270" s="170"/>
      <c r="F270" s="58" t="str">
        <f>IF($N$242="","",IF($N$242="INDUSTRIAL",IF(OR($D$240="",$D$246=""),"",IF(OR(D270&gt;$D$247,E270&gt;$D$248),"Rev. Total. abona.",IF(D270="",IF(E270="","",E270/(0.92*1000)),IF(OR($D$240="SAN CRISTOBAL",$D$240="FLOREANA"),VLOOKUP(D270,'Estratos SCY - FLO'!$A$4:$M$108,IF($D$246="A1",2,IF($D$246="A",5,IF($D$246="B",8,11))))+E270/(0.92*1000),VLOOKUP(D270,'Estratos SCX - ISA'!$A$3:$M$107,IF($D$246="A1",2,IF($D$246="A",5,IF($D$246="B",8,11))))+E270/(0.92*1000))))),IF(OR($D$240="",$D$246=""),"",IF(OR(D270&gt;$D$247,E270&gt;$D$248),"Rev. Total. abona.",IF(D270="",IF(E270="","",E270/(0.92*1000)),IF(OR($D$240="SAN CRISTOBAL",$D$240="FLOREANA"),VLOOKUP(D270,'Estratos SCY - FLO'!$O$4:$S$108,IF($D$246="A1",2,IF($D$246="A",3,IF($D$246="B",4,5))))+E270/(0.92*1000),VLOOKUP(D270,'Estratos SCX - ISA'!$O$4:$S$108,IF($D$246="A1",2,IF($D$246="A",3,IF($D$246="B",4,5))))+E270/(0.92*1000)))))))</f>
        <v/>
      </c>
      <c r="G270" s="59" t="str">
        <f t="shared" si="39"/>
        <v/>
      </c>
      <c r="H270" s="183"/>
      <c r="I270" s="183"/>
      <c r="J270" s="59" t="str">
        <f>IF(OR(H270="",$D$10="",$N$10=""),"",IF($D$10="COBRE",VLOOKUP(CDV_PROY_BT!H270,FDV!$B$16:$E$24,IF(CDV_PROY_BT!$N$10="3F",3,4),FALSE),IF($D$10="ACS",VLOOKUP(CDV_PROY_BT!H270,FDV!$B$10:$E$15,IF(CDV_PROY_BT!$N$10="3F",3,4),FALSE),IF($D$10="5005 (PREENSAMBLADO)",VLOOKUP(CDV_PROY_BT!H270,FDV!$B$4:$E$9,IF(CDV_PROY_BT!$N$10="3F",3,4),FALSE),VLOOKUP(CDV_PROY_BT!H270,FDV!$B$25:$E$30,IF(CDV_PROY_BT!$N$10="3F",3,4),FALSE)))))</f>
        <v/>
      </c>
      <c r="K270" s="63" t="str">
        <f t="shared" si="36"/>
        <v/>
      </c>
      <c r="L270" s="62" t="str">
        <f t="shared" si="40"/>
        <v/>
      </c>
      <c r="M270" s="62" t="str">
        <f t="shared" si="41"/>
        <v/>
      </c>
      <c r="N270" s="155"/>
      <c r="U270" s="138">
        <f t="shared" si="37"/>
        <v>0</v>
      </c>
      <c r="V270" s="138">
        <f t="shared" si="38"/>
        <v>0</v>
      </c>
    </row>
    <row r="271" spans="1:22" ht="15" hidden="1">
      <c r="A271" s="167"/>
      <c r="B271" s="168"/>
      <c r="C271" s="169"/>
      <c r="D271" s="169"/>
      <c r="E271" s="170"/>
      <c r="F271" s="58" t="str">
        <f>IF($N$242="","",IF($N$242="INDUSTRIAL",IF(OR($D$240="",$D$246=""),"",IF(OR(D271&gt;$D$247,E271&gt;$D$248),"Rev. Total. abona.",IF(D271="",IF(E271="","",E271/(0.92*1000)),IF(OR($D$240="SAN CRISTOBAL",$D$240="FLOREANA"),VLOOKUP(D271,'Estratos SCY - FLO'!$A$4:$M$108,IF($D$246="A1",2,IF($D$246="A",5,IF($D$246="B",8,11))))+E271/(0.92*1000),VLOOKUP(D271,'Estratos SCX - ISA'!$A$3:$M$107,IF($D$246="A1",2,IF($D$246="A",5,IF($D$246="B",8,11))))+E271/(0.92*1000))))),IF(OR($D$240="",$D$246=""),"",IF(OR(D271&gt;$D$247,E271&gt;$D$248),"Rev. Total. abona.",IF(D271="",IF(E271="","",E271/(0.92*1000)),IF(OR($D$240="SAN CRISTOBAL",$D$240="FLOREANA"),VLOOKUP(D271,'Estratos SCY - FLO'!$O$4:$S$108,IF($D$246="A1",2,IF($D$246="A",3,IF($D$246="B",4,5))))+E271/(0.92*1000),VLOOKUP(D271,'Estratos SCX - ISA'!$O$4:$S$108,IF($D$246="A1",2,IF($D$246="A",3,IF($D$246="B",4,5))))+E271/(0.92*1000)))))))</f>
        <v/>
      </c>
      <c r="G271" s="59" t="str">
        <f t="shared" si="39"/>
        <v/>
      </c>
      <c r="H271" s="183"/>
      <c r="I271" s="183"/>
      <c r="J271" s="59" t="str">
        <f>IF(OR(H271="",$D$10="",$N$10=""),"",IF($D$10="COBRE",VLOOKUP(CDV_PROY_BT!H271,FDV!$B$16:$E$24,IF(CDV_PROY_BT!$N$10="3F",3,4),FALSE),IF($D$10="ACS",VLOOKUP(CDV_PROY_BT!H271,FDV!$B$10:$E$15,IF(CDV_PROY_BT!$N$10="3F",3,4),FALSE),IF($D$10="5005 (PREENSAMBLADO)",VLOOKUP(CDV_PROY_BT!H271,FDV!$B$4:$E$9,IF(CDV_PROY_BT!$N$10="3F",3,4),FALSE),VLOOKUP(CDV_PROY_BT!H271,FDV!$B$25:$E$30,IF(CDV_PROY_BT!$N$10="3F",3,4),FALSE)))))</f>
        <v/>
      </c>
      <c r="K271" s="63" t="str">
        <f t="shared" si="36"/>
        <v/>
      </c>
      <c r="L271" s="62" t="str">
        <f t="shared" si="40"/>
        <v/>
      </c>
      <c r="M271" s="62" t="str">
        <f t="shared" si="41"/>
        <v/>
      </c>
      <c r="N271" s="155"/>
      <c r="U271" s="138">
        <f t="shared" si="37"/>
        <v>0</v>
      </c>
      <c r="V271" s="138">
        <f t="shared" si="38"/>
        <v>0</v>
      </c>
    </row>
    <row r="272" spans="1:22" ht="15" hidden="1">
      <c r="A272" s="167"/>
      <c r="B272" s="168"/>
      <c r="C272" s="169"/>
      <c r="D272" s="169"/>
      <c r="E272" s="170"/>
      <c r="F272" s="58" t="str">
        <f>IF($N$242="","",IF($N$242="INDUSTRIAL",IF(OR($D$240="",$D$246=""),"",IF(OR(D272&gt;$D$247,E272&gt;$D$248),"Rev. Total. abona.",IF(D272="",IF(E272="","",E272/(0.92*1000)),IF(OR($D$240="SAN CRISTOBAL",$D$240="FLOREANA"),VLOOKUP(D272,'Estratos SCY - FLO'!$A$4:$M$108,IF($D$246="A1",2,IF($D$246="A",5,IF($D$246="B",8,11))))+E272/(0.92*1000),VLOOKUP(D272,'Estratos SCX - ISA'!$A$3:$M$107,IF($D$246="A1",2,IF($D$246="A",5,IF($D$246="B",8,11))))+E272/(0.92*1000))))),IF(OR($D$240="",$D$246=""),"",IF(OR(D272&gt;$D$247,E272&gt;$D$248),"Rev. Total. abona.",IF(D272="",IF(E272="","",E272/(0.92*1000)),IF(OR($D$240="SAN CRISTOBAL",$D$240="FLOREANA"),VLOOKUP(D272,'Estratos SCY - FLO'!$O$4:$S$108,IF($D$246="A1",2,IF($D$246="A",3,IF($D$246="B",4,5))))+E272/(0.92*1000),VLOOKUP(D272,'Estratos SCX - ISA'!$O$4:$S$108,IF($D$246="A1",2,IF($D$246="A",3,IF($D$246="B",4,5))))+E272/(0.92*1000)))))))</f>
        <v/>
      </c>
      <c r="G272" s="59" t="str">
        <f t="shared" si="39"/>
        <v/>
      </c>
      <c r="H272" s="183"/>
      <c r="I272" s="183"/>
      <c r="J272" s="59" t="str">
        <f>IF(OR(H272="",$D$10="",$N$10=""),"",IF($D$10="COBRE",VLOOKUP(CDV_PROY_BT!H272,FDV!$B$16:$E$24,IF(CDV_PROY_BT!$N$10="3F",3,4),FALSE),IF($D$10="ACS",VLOOKUP(CDV_PROY_BT!H272,FDV!$B$10:$E$15,IF(CDV_PROY_BT!$N$10="3F",3,4),FALSE),IF($D$10="5005 (PREENSAMBLADO)",VLOOKUP(CDV_PROY_BT!H272,FDV!$B$4:$E$9,IF(CDV_PROY_BT!$N$10="3F",3,4),FALSE),VLOOKUP(CDV_PROY_BT!H272,FDV!$B$25:$E$30,IF(CDV_PROY_BT!$N$10="3F",3,4),FALSE)))))</f>
        <v/>
      </c>
      <c r="K272" s="63" t="str">
        <f t="shared" si="36"/>
        <v/>
      </c>
      <c r="L272" s="62" t="str">
        <f t="shared" si="40"/>
        <v/>
      </c>
      <c r="M272" s="62" t="str">
        <f t="shared" si="41"/>
        <v/>
      </c>
      <c r="N272" s="155"/>
      <c r="U272" s="138">
        <f t="shared" si="37"/>
        <v>0</v>
      </c>
      <c r="V272" s="138">
        <f t="shared" si="38"/>
        <v>0</v>
      </c>
    </row>
    <row r="273" spans="1:22" ht="15" hidden="1">
      <c r="A273" s="167"/>
      <c r="B273" s="168"/>
      <c r="C273" s="169"/>
      <c r="D273" s="169"/>
      <c r="E273" s="170"/>
      <c r="F273" s="58" t="str">
        <f>IF($N$242="","",IF($N$242="INDUSTRIAL",IF(OR($D$240="",$D$246=""),"",IF(OR(D273&gt;$D$247,E273&gt;$D$248),"Rev. Total. abona.",IF(D273="",IF(E273="","",E273/(0.92*1000)),IF(OR($D$240="SAN CRISTOBAL",$D$240="FLOREANA"),VLOOKUP(D273,'Estratos SCY - FLO'!$A$4:$M$108,IF($D$246="A1",2,IF($D$246="A",5,IF($D$246="B",8,11))))+E273/(0.92*1000),VLOOKUP(D273,'Estratos SCX - ISA'!$A$3:$M$107,IF($D$246="A1",2,IF($D$246="A",5,IF($D$246="B",8,11))))+E273/(0.92*1000))))),IF(OR($D$240="",$D$246=""),"",IF(OR(D273&gt;$D$247,E273&gt;$D$248),"Rev. Total. abona.",IF(D273="",IF(E273="","",E273/(0.92*1000)),IF(OR($D$240="SAN CRISTOBAL",$D$240="FLOREANA"),VLOOKUP(D273,'Estratos SCY - FLO'!$O$4:$S$108,IF($D$246="A1",2,IF($D$246="A",3,IF($D$246="B",4,5))))+E273/(0.92*1000),VLOOKUP(D273,'Estratos SCX - ISA'!$O$4:$S$108,IF($D$246="A1",2,IF($D$246="A",3,IF($D$246="B",4,5))))+E273/(0.92*1000)))))))</f>
        <v/>
      </c>
      <c r="G273" s="59" t="str">
        <f t="shared" si="39"/>
        <v/>
      </c>
      <c r="H273" s="183"/>
      <c r="I273" s="183"/>
      <c r="J273" s="59" t="str">
        <f>IF(OR(H273="",$D$10="",$N$10=""),"",IF($D$10="COBRE",VLOOKUP(CDV_PROY_BT!H273,FDV!$B$16:$E$24,IF(CDV_PROY_BT!$N$10="3F",3,4),FALSE),IF($D$10="ACS",VLOOKUP(CDV_PROY_BT!H273,FDV!$B$10:$E$15,IF(CDV_PROY_BT!$N$10="3F",3,4),FALSE),IF($D$10="5005 (PREENSAMBLADO)",VLOOKUP(CDV_PROY_BT!H273,FDV!$B$4:$E$9,IF(CDV_PROY_BT!$N$10="3F",3,4),FALSE),VLOOKUP(CDV_PROY_BT!H273,FDV!$B$25:$E$30,IF(CDV_PROY_BT!$N$10="3F",3,4),FALSE)))))</f>
        <v/>
      </c>
      <c r="K273" s="63" t="str">
        <f t="shared" si="36"/>
        <v/>
      </c>
      <c r="L273" s="62" t="str">
        <f t="shared" si="40"/>
        <v/>
      </c>
      <c r="M273" s="62" t="str">
        <f t="shared" si="41"/>
        <v/>
      </c>
      <c r="N273" s="155"/>
      <c r="U273" s="138">
        <f t="shared" si="37"/>
        <v>0</v>
      </c>
      <c r="V273" s="138">
        <f t="shared" si="38"/>
        <v>0</v>
      </c>
    </row>
    <row r="274" spans="1:22" ht="15" hidden="1">
      <c r="A274" s="167"/>
      <c r="B274" s="168"/>
      <c r="C274" s="169"/>
      <c r="D274" s="169"/>
      <c r="E274" s="170"/>
      <c r="F274" s="58" t="str">
        <f>IF($N$242="","",IF($N$242="INDUSTRIAL",IF(OR($D$240="",$D$246=""),"",IF(OR(D274&gt;$D$247,E274&gt;$D$248),"Rev. Total. abona.",IF(D274="",IF(E274="","",E274/(0.92*1000)),IF(OR($D$240="SAN CRISTOBAL",$D$240="FLOREANA"),VLOOKUP(D274,'Estratos SCY - FLO'!$A$4:$M$108,IF($D$246="A1",2,IF($D$246="A",5,IF($D$246="B",8,11))))+E274/(0.92*1000),VLOOKUP(D274,'Estratos SCX - ISA'!$A$3:$M$107,IF($D$246="A1",2,IF($D$246="A",5,IF($D$246="B",8,11))))+E274/(0.92*1000))))),IF(OR($D$240="",$D$246=""),"",IF(OR(D274&gt;$D$247,E274&gt;$D$248),"Rev. Total. abona.",IF(D274="",IF(E274="","",E274/(0.92*1000)),IF(OR($D$240="SAN CRISTOBAL",$D$240="FLOREANA"),VLOOKUP(D274,'Estratos SCY - FLO'!$O$4:$S$108,IF($D$246="A1",2,IF($D$246="A",3,IF($D$246="B",4,5))))+E274/(0.92*1000),VLOOKUP(D274,'Estratos SCX - ISA'!$O$4:$S$108,IF($D$246="A1",2,IF($D$246="A",3,IF($D$246="B",4,5))))+E274/(0.92*1000)))))))</f>
        <v/>
      </c>
      <c r="G274" s="59" t="str">
        <f t="shared" si="39"/>
        <v/>
      </c>
      <c r="H274" s="183"/>
      <c r="I274" s="183"/>
      <c r="J274" s="59" t="str">
        <f>IF(OR(H274="",$D$10="",$N$10=""),"",IF($D$10="COBRE",VLOOKUP(CDV_PROY_BT!H274,FDV!$B$16:$E$24,IF(CDV_PROY_BT!$N$10="3F",3,4),FALSE),IF($D$10="ACS",VLOOKUP(CDV_PROY_BT!H274,FDV!$B$10:$E$15,IF(CDV_PROY_BT!$N$10="3F",3,4),FALSE),IF($D$10="5005 (PREENSAMBLADO)",VLOOKUP(CDV_PROY_BT!H274,FDV!$B$4:$E$9,IF(CDV_PROY_BT!$N$10="3F",3,4),FALSE),VLOOKUP(CDV_PROY_BT!H274,FDV!$B$25:$E$30,IF(CDV_PROY_BT!$N$10="3F",3,4),FALSE)))))</f>
        <v/>
      </c>
      <c r="K274" s="63" t="str">
        <f t="shared" si="36"/>
        <v/>
      </c>
      <c r="L274" s="62" t="str">
        <f t="shared" si="40"/>
        <v/>
      </c>
      <c r="M274" s="62" t="str">
        <f t="shared" si="41"/>
        <v/>
      </c>
      <c r="N274" s="155"/>
      <c r="U274" s="138">
        <f t="shared" si="37"/>
        <v>0</v>
      </c>
      <c r="V274" s="138">
        <f t="shared" si="38"/>
        <v>0</v>
      </c>
    </row>
    <row r="275" spans="1:22" ht="15" hidden="1">
      <c r="A275" s="167"/>
      <c r="B275" s="168"/>
      <c r="C275" s="169"/>
      <c r="D275" s="169"/>
      <c r="E275" s="170"/>
      <c r="F275" s="58" t="str">
        <f>IF($N$242="","",IF($N$242="INDUSTRIAL",IF(OR($D$240="",$D$246=""),"",IF(OR(D275&gt;$D$247,E275&gt;$D$248),"Rev. Total. abona.",IF(D275="",IF(E275="","",E275/(0.92*1000)),IF(OR($D$240="SAN CRISTOBAL",$D$240="FLOREANA"),VLOOKUP(D275,'Estratos SCY - FLO'!$A$4:$M$108,IF($D$246="A1",2,IF($D$246="A",5,IF($D$246="B",8,11))))+E275/(0.92*1000),VLOOKUP(D275,'Estratos SCX - ISA'!$A$3:$M$107,IF($D$246="A1",2,IF($D$246="A",5,IF($D$246="B",8,11))))+E275/(0.92*1000))))),IF(OR($D$240="",$D$246=""),"",IF(OR(D275&gt;$D$247,E275&gt;$D$248),"Rev. Total. abona.",IF(D275="",IF(E275="","",E275/(0.92*1000)),IF(OR($D$240="SAN CRISTOBAL",$D$240="FLOREANA"),VLOOKUP(D275,'Estratos SCY - FLO'!$O$4:$S$108,IF($D$246="A1",2,IF($D$246="A",3,IF($D$246="B",4,5))))+E275/(0.92*1000),VLOOKUP(D275,'Estratos SCX - ISA'!$O$4:$S$108,IF($D$246="A1",2,IF($D$246="A",3,IF($D$246="B",4,5))))+E275/(0.92*1000)))))))</f>
        <v/>
      </c>
      <c r="G275" s="59" t="str">
        <f t="shared" si="39"/>
        <v/>
      </c>
      <c r="H275" s="183"/>
      <c r="I275" s="183"/>
      <c r="J275" s="59" t="str">
        <f>IF(OR(H275="",$D$10="",$N$10=""),"",IF($D$10="COBRE",VLOOKUP(CDV_PROY_BT!H275,FDV!$B$16:$E$24,IF(CDV_PROY_BT!$N$10="3F",3,4),FALSE),IF($D$10="ACS",VLOOKUP(CDV_PROY_BT!H275,FDV!$B$10:$E$15,IF(CDV_PROY_BT!$N$10="3F",3,4),FALSE),IF($D$10="5005 (PREENSAMBLADO)",VLOOKUP(CDV_PROY_BT!H275,FDV!$B$4:$E$9,IF(CDV_PROY_BT!$N$10="3F",3,4),FALSE),VLOOKUP(CDV_PROY_BT!H275,FDV!$B$25:$E$30,IF(CDV_PROY_BT!$N$10="3F",3,4),FALSE)))))</f>
        <v/>
      </c>
      <c r="K275" s="63" t="str">
        <f t="shared" si="36"/>
        <v/>
      </c>
      <c r="L275" s="62" t="str">
        <f t="shared" si="40"/>
        <v/>
      </c>
      <c r="M275" s="62" t="str">
        <f t="shared" si="41"/>
        <v/>
      </c>
      <c r="N275" s="155"/>
      <c r="U275" s="138">
        <f t="shared" si="37"/>
        <v>0</v>
      </c>
      <c r="V275" s="138">
        <f t="shared" si="38"/>
        <v>0</v>
      </c>
    </row>
    <row r="276" spans="1:22" ht="15" hidden="1">
      <c r="A276" s="167"/>
      <c r="B276" s="168"/>
      <c r="C276" s="169"/>
      <c r="D276" s="169"/>
      <c r="E276" s="170"/>
      <c r="F276" s="58" t="str">
        <f>IF($N$242="","",IF($N$242="INDUSTRIAL",IF(OR($D$240="",$D$246=""),"",IF(OR(D276&gt;$D$247,E276&gt;$D$248),"Rev. Total. abona.",IF(D276="",IF(E276="","",E276/(0.92*1000)),IF(OR($D$240="SAN CRISTOBAL",$D$240="FLOREANA"),VLOOKUP(D276,'Estratos SCY - FLO'!$A$4:$M$108,IF($D$246="A1",2,IF($D$246="A",5,IF($D$246="B",8,11))))+E276/(0.92*1000),VLOOKUP(D276,'Estratos SCX - ISA'!$A$3:$M$107,IF($D$246="A1",2,IF($D$246="A",5,IF($D$246="B",8,11))))+E276/(0.92*1000))))),IF(OR($D$240="",$D$246=""),"",IF(OR(D276&gt;$D$247,E276&gt;$D$248),"Rev. Total. abona.",IF(D276="",IF(E276="","",E276/(0.92*1000)),IF(OR($D$240="SAN CRISTOBAL",$D$240="FLOREANA"),VLOOKUP(D276,'Estratos SCY - FLO'!$O$4:$S$108,IF($D$246="A1",2,IF($D$246="A",3,IF($D$246="B",4,5))))+E276/(0.92*1000),VLOOKUP(D276,'Estratos SCX - ISA'!$O$4:$S$108,IF($D$246="A1",2,IF($D$246="A",3,IF($D$246="B",4,5))))+E276/(0.92*1000)))))))</f>
        <v/>
      </c>
      <c r="G276" s="59" t="str">
        <f t="shared" si="39"/>
        <v/>
      </c>
      <c r="H276" s="183"/>
      <c r="I276" s="183"/>
      <c r="J276" s="59" t="str">
        <f>IF(OR(H276="",$D$10="",$N$10=""),"",IF($D$10="COBRE",VLOOKUP(CDV_PROY_BT!H276,FDV!$B$16:$E$24,IF(CDV_PROY_BT!$N$10="3F",3,4),FALSE),IF($D$10="ACS",VLOOKUP(CDV_PROY_BT!H276,FDV!$B$10:$E$15,IF(CDV_PROY_BT!$N$10="3F",3,4),FALSE),IF($D$10="5005 (PREENSAMBLADO)",VLOOKUP(CDV_PROY_BT!H276,FDV!$B$4:$E$9,IF(CDV_PROY_BT!$N$10="3F",3,4),FALSE),VLOOKUP(CDV_PROY_BT!H276,FDV!$B$25:$E$30,IF(CDV_PROY_BT!$N$10="3F",3,4),FALSE)))))</f>
        <v/>
      </c>
      <c r="K276" s="63" t="str">
        <f t="shared" si="36"/>
        <v/>
      </c>
      <c r="L276" s="62" t="str">
        <f t="shared" si="40"/>
        <v/>
      </c>
      <c r="M276" s="62" t="str">
        <f t="shared" si="41"/>
        <v/>
      </c>
      <c r="N276" s="155"/>
      <c r="U276" s="138">
        <f t="shared" si="37"/>
        <v>0</v>
      </c>
      <c r="V276" s="138">
        <f t="shared" si="38"/>
        <v>0</v>
      </c>
    </row>
    <row r="277" spans="1:22" ht="15" hidden="1">
      <c r="A277" s="167"/>
      <c r="B277" s="168"/>
      <c r="C277" s="169"/>
      <c r="D277" s="169"/>
      <c r="E277" s="170"/>
      <c r="F277" s="58" t="str">
        <f>IF($N$242="","",IF($N$242="INDUSTRIAL",IF(OR($D$240="",$D$246=""),"",IF(OR(D277&gt;$D$247,E277&gt;$D$248),"Rev. Total. abona.",IF(D277="",IF(E277="","",E277/(0.92*1000)),IF(OR($D$240="SAN CRISTOBAL",$D$240="FLOREANA"),VLOOKUP(D277,'Estratos SCY - FLO'!$A$4:$M$108,IF($D$246="A1",2,IF($D$246="A",5,IF($D$246="B",8,11))))+E277/(0.92*1000),VLOOKUP(D277,'Estratos SCX - ISA'!$A$3:$M$107,IF($D$246="A1",2,IF($D$246="A",5,IF($D$246="B",8,11))))+E277/(0.92*1000))))),IF(OR($D$240="",$D$246=""),"",IF(OR(D277&gt;$D$247,E277&gt;$D$248),"Rev. Total. abona.",IF(D277="",IF(E277="","",E277/(0.92*1000)),IF(OR($D$240="SAN CRISTOBAL",$D$240="FLOREANA"),VLOOKUP(D277,'Estratos SCY - FLO'!$O$4:$S$108,IF($D$246="A1",2,IF($D$246="A",3,IF($D$246="B",4,5))))+E277/(0.92*1000),VLOOKUP(D277,'Estratos SCX - ISA'!$O$4:$S$108,IF($D$246="A1",2,IF($D$246="A",3,IF($D$246="B",4,5))))+E277/(0.92*1000)))))))</f>
        <v/>
      </c>
      <c r="G277" s="59" t="str">
        <f t="shared" si="39"/>
        <v/>
      </c>
      <c r="H277" s="183"/>
      <c r="I277" s="183"/>
      <c r="J277" s="59" t="str">
        <f>IF(OR(H277="",$D$10="",$N$10=""),"",IF($D$10="COBRE",VLOOKUP(CDV_PROY_BT!H277,FDV!$B$16:$E$24,IF(CDV_PROY_BT!$N$10="3F",3,4),FALSE),IF($D$10="ACS",VLOOKUP(CDV_PROY_BT!H277,FDV!$B$10:$E$15,IF(CDV_PROY_BT!$N$10="3F",3,4),FALSE),IF($D$10="5005 (PREENSAMBLADO)",VLOOKUP(CDV_PROY_BT!H277,FDV!$B$4:$E$9,IF(CDV_PROY_BT!$N$10="3F",3,4),FALSE),VLOOKUP(CDV_PROY_BT!H277,FDV!$B$25:$E$30,IF(CDV_PROY_BT!$N$10="3F",3,4),FALSE)))))</f>
        <v/>
      </c>
      <c r="K277" s="63" t="str">
        <f t="shared" si="36"/>
        <v/>
      </c>
      <c r="L277" s="62" t="str">
        <f t="shared" si="40"/>
        <v/>
      </c>
      <c r="M277" s="62" t="str">
        <f t="shared" si="41"/>
        <v/>
      </c>
      <c r="N277" s="155"/>
      <c r="U277" s="138">
        <f t="shared" si="37"/>
        <v>0</v>
      </c>
      <c r="V277" s="138">
        <f t="shared" si="38"/>
        <v>0</v>
      </c>
    </row>
    <row r="278" spans="1:22" ht="15" hidden="1">
      <c r="A278" s="167"/>
      <c r="B278" s="168"/>
      <c r="C278" s="169"/>
      <c r="D278" s="169"/>
      <c r="E278" s="170"/>
      <c r="F278" s="58" t="str">
        <f>IF($N$242="","",IF($N$242="INDUSTRIAL",IF(OR($D$240="",$D$246=""),"",IF(OR(D278&gt;$D$247,E278&gt;$D$248),"Rev. Total. abona.",IF(D278="",IF(E278="","",E278/(0.92*1000)),IF(OR($D$240="SAN CRISTOBAL",$D$240="FLOREANA"),VLOOKUP(D278,'Estratos SCY - FLO'!$A$4:$M$108,IF($D$246="A1",2,IF($D$246="A",5,IF($D$246="B",8,11))))+E278/(0.92*1000),VLOOKUP(D278,'Estratos SCX - ISA'!$A$3:$M$107,IF($D$246="A1",2,IF($D$246="A",5,IF($D$246="B",8,11))))+E278/(0.92*1000))))),IF(OR($D$240="",$D$246=""),"",IF(OR(D278&gt;$D$247,E278&gt;$D$248),"Rev. Total. abona.",IF(D278="",IF(E278="","",E278/(0.92*1000)),IF(OR($D$240="SAN CRISTOBAL",$D$240="FLOREANA"),VLOOKUP(D278,'Estratos SCY - FLO'!$O$4:$S$108,IF($D$246="A1",2,IF($D$246="A",3,IF($D$246="B",4,5))))+E278/(0.92*1000),VLOOKUP(D278,'Estratos SCX - ISA'!$O$4:$S$108,IF($D$246="A1",2,IF($D$246="A",3,IF($D$246="B",4,5))))+E278/(0.92*1000)))))))</f>
        <v/>
      </c>
      <c r="G278" s="59" t="str">
        <f t="shared" si="39"/>
        <v/>
      </c>
      <c r="H278" s="183"/>
      <c r="I278" s="183"/>
      <c r="J278" s="59" t="str">
        <f>IF(OR(H278="",$D$10="",$N$10=""),"",IF($D$10="COBRE",VLOOKUP(CDV_PROY_BT!H278,FDV!$B$16:$E$24,IF(CDV_PROY_BT!$N$10="3F",3,4),FALSE),IF($D$10="ACS",VLOOKUP(CDV_PROY_BT!H278,FDV!$B$10:$E$15,IF(CDV_PROY_BT!$N$10="3F",3,4),FALSE),IF($D$10="5005 (PREENSAMBLADO)",VLOOKUP(CDV_PROY_BT!H278,FDV!$B$4:$E$9,IF(CDV_PROY_BT!$N$10="3F",3,4),FALSE),VLOOKUP(CDV_PROY_BT!H278,FDV!$B$25:$E$30,IF(CDV_PROY_BT!$N$10="3F",3,4),FALSE)))))</f>
        <v/>
      </c>
      <c r="K278" s="63" t="str">
        <f t="shared" si="36"/>
        <v/>
      </c>
      <c r="L278" s="62" t="str">
        <f t="shared" si="40"/>
        <v/>
      </c>
      <c r="M278" s="62" t="str">
        <f t="shared" si="41"/>
        <v/>
      </c>
      <c r="N278" s="155"/>
      <c r="U278" s="138">
        <f t="shared" si="37"/>
        <v>0</v>
      </c>
      <c r="V278" s="138">
        <f t="shared" si="38"/>
        <v>0</v>
      </c>
    </row>
    <row r="279" spans="1:22" ht="15" hidden="1">
      <c r="A279" s="167"/>
      <c r="B279" s="168"/>
      <c r="C279" s="169"/>
      <c r="D279" s="169"/>
      <c r="E279" s="170"/>
      <c r="F279" s="58" t="str">
        <f>IF($N$242="","",IF($N$242="INDUSTRIAL",IF(OR($D$240="",$D$246=""),"",IF(OR(D279&gt;$D$247,E279&gt;$D$248),"Rev. Total. abona.",IF(D279="",IF(E279="","",E279/(0.92*1000)),IF(OR($D$240="SAN CRISTOBAL",$D$240="FLOREANA"),VLOOKUP(D279,'Estratos SCY - FLO'!$A$4:$M$108,IF($D$246="A1",2,IF($D$246="A",5,IF($D$246="B",8,11))))+E279/(0.92*1000),VLOOKUP(D279,'Estratos SCX - ISA'!$A$3:$M$107,IF($D$246="A1",2,IF($D$246="A",5,IF($D$246="B",8,11))))+E279/(0.92*1000))))),IF(OR($D$240="",$D$246=""),"",IF(OR(D279&gt;$D$247,E279&gt;$D$248),"Rev. Total. abona.",IF(D279="",IF(E279="","",E279/(0.92*1000)),IF(OR($D$240="SAN CRISTOBAL",$D$240="FLOREANA"),VLOOKUP(D279,'Estratos SCY - FLO'!$O$4:$S$108,IF($D$246="A1",2,IF($D$246="A",3,IF($D$246="B",4,5))))+E279/(0.92*1000),VLOOKUP(D279,'Estratos SCX - ISA'!$O$4:$S$108,IF($D$246="A1",2,IF($D$246="A",3,IF($D$246="B",4,5))))+E279/(0.92*1000)))))))</f>
        <v/>
      </c>
      <c r="G279" s="59" t="str">
        <f t="shared" si="39"/>
        <v/>
      </c>
      <c r="H279" s="183"/>
      <c r="I279" s="183"/>
      <c r="J279" s="59" t="str">
        <f>IF(OR(H279="",$D$10="",$N$10=""),"",IF($D$10="COBRE",VLOOKUP(CDV_PROY_BT!H279,FDV!$B$16:$E$24,IF(CDV_PROY_BT!$N$10="3F",3,4),FALSE),IF($D$10="ACS",VLOOKUP(CDV_PROY_BT!H279,FDV!$B$10:$E$15,IF(CDV_PROY_BT!$N$10="3F",3,4),FALSE),IF($D$10="5005 (PREENSAMBLADO)",VLOOKUP(CDV_PROY_BT!H279,FDV!$B$4:$E$9,IF(CDV_PROY_BT!$N$10="3F",3,4),FALSE),VLOOKUP(CDV_PROY_BT!H279,FDV!$B$25:$E$30,IF(CDV_PROY_BT!$N$10="3F",3,4),FALSE)))))</f>
        <v/>
      </c>
      <c r="K279" s="63" t="str">
        <f t="shared" si="36"/>
        <v/>
      </c>
      <c r="L279" s="62" t="str">
        <f t="shared" si="40"/>
        <v/>
      </c>
      <c r="M279" s="62" t="str">
        <f t="shared" si="41"/>
        <v/>
      </c>
      <c r="N279" s="155"/>
      <c r="U279" s="138">
        <f t="shared" si="37"/>
        <v>0</v>
      </c>
      <c r="V279" s="138">
        <f t="shared" si="38"/>
        <v>0</v>
      </c>
    </row>
    <row r="280" spans="1:22" ht="15" hidden="1">
      <c r="A280" s="167"/>
      <c r="B280" s="168"/>
      <c r="C280" s="169"/>
      <c r="D280" s="169"/>
      <c r="E280" s="170"/>
      <c r="F280" s="58" t="str">
        <f>IF($N$242="","",IF($N$242="INDUSTRIAL",IF(OR($D$240="",$D$246=""),"",IF(OR(D280&gt;$D$247,E280&gt;$D$248),"Rev. Total. abona.",IF(D280="",IF(E280="","",E280/(0.92*1000)),IF(OR($D$240="SAN CRISTOBAL",$D$240="FLOREANA"),VLOOKUP(D280,'Estratos SCY - FLO'!$A$4:$M$108,IF($D$246="A1",2,IF($D$246="A",5,IF($D$246="B",8,11))))+E280/(0.92*1000),VLOOKUP(D280,'Estratos SCX - ISA'!$A$3:$M$107,IF($D$246="A1",2,IF($D$246="A",5,IF($D$246="B",8,11))))+E280/(0.92*1000))))),IF(OR($D$240="",$D$246=""),"",IF(OR(D280&gt;$D$247,E280&gt;$D$248),"Rev. Total. abona.",IF(D280="",IF(E280="","",E280/(0.92*1000)),IF(OR($D$240="SAN CRISTOBAL",$D$240="FLOREANA"),VLOOKUP(D280,'Estratos SCY - FLO'!$O$4:$S$108,IF($D$246="A1",2,IF($D$246="A",3,IF($D$246="B",4,5))))+E280/(0.92*1000),VLOOKUP(D280,'Estratos SCX - ISA'!$O$4:$S$108,IF($D$246="A1",2,IF($D$246="A",3,IF($D$246="B",4,5))))+E280/(0.92*1000)))))))</f>
        <v/>
      </c>
      <c r="G280" s="59" t="str">
        <f t="shared" si="39"/>
        <v/>
      </c>
      <c r="H280" s="183"/>
      <c r="I280" s="183"/>
      <c r="J280" s="59" t="str">
        <f>IF(OR(H280="",$D$10="",$N$10=""),"",IF($D$10="COBRE",VLOOKUP(CDV_PROY_BT!H280,FDV!$B$16:$E$24,IF(CDV_PROY_BT!$N$10="3F",3,4),FALSE),IF($D$10="ACS",VLOOKUP(CDV_PROY_BT!H280,FDV!$B$10:$E$15,IF(CDV_PROY_BT!$N$10="3F",3,4),FALSE),IF($D$10="5005 (PREENSAMBLADO)",VLOOKUP(CDV_PROY_BT!H280,FDV!$B$4:$E$9,IF(CDV_PROY_BT!$N$10="3F",3,4),FALSE),VLOOKUP(CDV_PROY_BT!H280,FDV!$B$25:$E$30,IF(CDV_PROY_BT!$N$10="3F",3,4),FALSE)))))</f>
        <v/>
      </c>
      <c r="K280" s="63" t="str">
        <f t="shared" si="36"/>
        <v/>
      </c>
      <c r="L280" s="62" t="str">
        <f t="shared" si="40"/>
        <v/>
      </c>
      <c r="M280" s="62" t="str">
        <f t="shared" si="41"/>
        <v/>
      </c>
      <c r="N280" s="155"/>
      <c r="U280" s="138">
        <f t="shared" si="37"/>
        <v>0</v>
      </c>
      <c r="V280" s="138">
        <f t="shared" si="38"/>
        <v>0</v>
      </c>
    </row>
    <row r="281" spans="1:22" ht="15" hidden="1">
      <c r="A281" s="167"/>
      <c r="B281" s="168"/>
      <c r="C281" s="169"/>
      <c r="D281" s="169"/>
      <c r="E281" s="170"/>
      <c r="F281" s="58" t="str">
        <f>IF($N$242="","",IF($N$242="INDUSTRIAL",IF(OR($D$240="",$D$246=""),"",IF(OR(D281&gt;$D$247,E281&gt;$D$248),"Rev. Total. abona.",IF(D281="",IF(E281="","",E281/(0.92*1000)),IF(OR($D$240="SAN CRISTOBAL",$D$240="FLOREANA"),VLOOKUP(D281,'Estratos SCY - FLO'!$A$4:$M$108,IF($D$246="A1",2,IF($D$246="A",5,IF($D$246="B",8,11))))+E281/(0.92*1000),VLOOKUP(D281,'Estratos SCX - ISA'!$A$3:$M$107,IF($D$246="A1",2,IF($D$246="A",5,IF($D$246="B",8,11))))+E281/(0.92*1000))))),IF(OR($D$240="",$D$246=""),"",IF(OR(D281&gt;$D$247,E281&gt;$D$248),"Rev. Total. abona.",IF(D281="",IF(E281="","",E281/(0.92*1000)),IF(OR($D$240="SAN CRISTOBAL",$D$240="FLOREANA"),VLOOKUP(D281,'Estratos SCY - FLO'!$O$4:$S$108,IF($D$246="A1",2,IF($D$246="A",3,IF($D$246="B",4,5))))+E281/(0.92*1000),VLOOKUP(D281,'Estratos SCX - ISA'!$O$4:$S$108,IF($D$246="A1",2,IF($D$246="A",3,IF($D$246="B",4,5))))+E281/(0.92*1000)))))))</f>
        <v/>
      </c>
      <c r="G281" s="59" t="str">
        <f t="shared" si="39"/>
        <v/>
      </c>
      <c r="H281" s="183"/>
      <c r="I281" s="183"/>
      <c r="J281" s="59" t="str">
        <f>IF(OR(H281="",$D$10="",$N$10=""),"",IF($D$10="COBRE",VLOOKUP(CDV_PROY_BT!H281,FDV!$B$16:$E$24,IF(CDV_PROY_BT!$N$10="3F",3,4),FALSE),IF($D$10="ACS",VLOOKUP(CDV_PROY_BT!H281,FDV!$B$10:$E$15,IF(CDV_PROY_BT!$N$10="3F",3,4),FALSE),IF($D$10="5005 (PREENSAMBLADO)",VLOOKUP(CDV_PROY_BT!H281,FDV!$B$4:$E$9,IF(CDV_PROY_BT!$N$10="3F",3,4),FALSE),VLOOKUP(CDV_PROY_BT!H281,FDV!$B$25:$E$30,IF(CDV_PROY_BT!$N$10="3F",3,4),FALSE)))))</f>
        <v/>
      </c>
      <c r="K281" s="63" t="str">
        <f t="shared" si="36"/>
        <v/>
      </c>
      <c r="L281" s="62" t="str">
        <f t="shared" si="40"/>
        <v/>
      </c>
      <c r="M281" s="62" t="str">
        <f t="shared" si="41"/>
        <v/>
      </c>
      <c r="N281" s="155"/>
      <c r="U281" s="138">
        <f t="shared" si="37"/>
        <v>0</v>
      </c>
      <c r="V281" s="138">
        <f t="shared" si="38"/>
        <v>0</v>
      </c>
    </row>
    <row r="282" spans="1:22" ht="15" hidden="1">
      <c r="A282" s="167"/>
      <c r="B282" s="168"/>
      <c r="C282" s="169"/>
      <c r="D282" s="169"/>
      <c r="E282" s="170"/>
      <c r="F282" s="58" t="str">
        <f>IF($N$242="","",IF($N$242="INDUSTRIAL",IF(OR($D$240="",$D$246=""),"",IF(OR(D282&gt;$D$247,E282&gt;$D$248),"Rev. Total. abona.",IF(D282="",IF(E282="","",E282/(0.92*1000)),IF(OR($D$240="SAN CRISTOBAL",$D$240="FLOREANA"),VLOOKUP(D282,'Estratos SCY - FLO'!$A$4:$M$108,IF($D$246="A1",2,IF($D$246="A",5,IF($D$246="B",8,11))))+E282/(0.92*1000),VLOOKUP(D282,'Estratos SCX - ISA'!$A$3:$M$107,IF($D$246="A1",2,IF($D$246="A",5,IF($D$246="B",8,11))))+E282/(0.92*1000))))),IF(OR($D$240="",$D$246=""),"",IF(OR(D282&gt;$D$247,E282&gt;$D$248),"Rev. Total. abona.",IF(D282="",IF(E282="","",E282/(0.92*1000)),IF(OR($D$240="SAN CRISTOBAL",$D$240="FLOREANA"),VLOOKUP(D282,'Estratos SCY - FLO'!$O$4:$S$108,IF($D$246="A1",2,IF($D$246="A",3,IF($D$246="B",4,5))))+E282/(0.92*1000),VLOOKUP(D282,'Estratos SCX - ISA'!$O$4:$S$108,IF($D$246="A1",2,IF($D$246="A",3,IF($D$246="B",4,5))))+E282/(0.92*1000)))))))</f>
        <v/>
      </c>
      <c r="G282" s="59" t="str">
        <f t="shared" si="39"/>
        <v/>
      </c>
      <c r="H282" s="183"/>
      <c r="I282" s="183"/>
      <c r="J282" s="59" t="str">
        <f>IF(OR(H282="",$D$10="",$N$10=""),"",IF($D$10="COBRE",VLOOKUP(CDV_PROY_BT!H282,FDV!$B$16:$E$24,IF(CDV_PROY_BT!$N$10="3F",3,4),FALSE),IF($D$10="ACS",VLOOKUP(CDV_PROY_BT!H282,FDV!$B$10:$E$15,IF(CDV_PROY_BT!$N$10="3F",3,4),FALSE),IF($D$10="5005 (PREENSAMBLADO)",VLOOKUP(CDV_PROY_BT!H282,FDV!$B$4:$E$9,IF(CDV_PROY_BT!$N$10="3F",3,4),FALSE),VLOOKUP(CDV_PROY_BT!H282,FDV!$B$25:$E$30,IF(CDV_PROY_BT!$N$10="3F",3,4),FALSE)))))</f>
        <v/>
      </c>
      <c r="K282" s="63" t="str">
        <f t="shared" si="36"/>
        <v/>
      </c>
      <c r="L282" s="62" t="str">
        <f t="shared" si="40"/>
        <v/>
      </c>
      <c r="M282" s="62" t="str">
        <f t="shared" si="41"/>
        <v/>
      </c>
      <c r="N282" s="156"/>
      <c r="U282" s="138">
        <f t="shared" si="37"/>
        <v>0</v>
      </c>
      <c r="V282" s="138">
        <f t="shared" si="38"/>
        <v>0</v>
      </c>
    </row>
    <row r="283" spans="1:22" ht="15.75" hidden="1" thickBot="1">
      <c r="A283" s="178"/>
      <c r="B283" s="179"/>
      <c r="C283" s="180"/>
      <c r="D283" s="180"/>
      <c r="E283" s="181"/>
      <c r="F283" s="68" t="str">
        <f>IF($N$242="","",IF($N$242="INDUSTRIAL",IF(OR($D$240="",$D$246=""),"",IF(OR(D283&gt;$D$247,E283&gt;$D$248),"Rev. Total. abona.",IF(D283="",IF(E283="","",E283/(0.92*1000)),IF(OR($D$240="SAN CRISTOBAL",$D$240="FLOREANA"),VLOOKUP(D283,'Estratos SCY - FLO'!$A$4:$M$108,IF($D$246="A1",2,IF($D$246="A",5,IF($D$246="B",8,11))))+E283/(0.92*1000),VLOOKUP(D283,'Estratos SCX - ISA'!$A$3:$M$107,IF($D$246="A1",2,IF($D$246="A",5,IF($D$246="B",8,11))))+E283/(0.92*1000))))),IF(OR($D$240="",$D$246=""),"",IF(OR(D283&gt;$D$247,E283&gt;$D$248),"Rev. Total. abona.",IF(D283="",IF(E283="","",E283/(0.92*1000)),IF(OR($D$240="SAN CRISTOBAL",$D$240="FLOREANA"),VLOOKUP(D283,'Estratos SCY - FLO'!$O$4:$S$108,IF($D$246="A1",2,IF($D$246="A",3,IF($D$246="B",4,5))))+E283/(0.92*1000),VLOOKUP(D283,'Estratos SCX - ISA'!$O$4:$S$108,IF($D$246="A1",2,IF($D$246="A",3,IF($D$246="B",4,5))))+E283/(0.92*1000)))))))</f>
        <v/>
      </c>
      <c r="G283" s="69" t="str">
        <f t="shared" si="39"/>
        <v/>
      </c>
      <c r="H283" s="184"/>
      <c r="I283" s="184"/>
      <c r="J283" s="69" t="str">
        <f>IF(OR(H283="",$D$10="",$N$10=""),"",IF($D$10="COBRE",VLOOKUP(CDV_PROY_BT!H283,FDV!$B$16:$E$24,IF(CDV_PROY_BT!$N$10="3F",3,4),FALSE),IF($D$10="ACS",VLOOKUP(CDV_PROY_BT!H283,FDV!$B$10:$E$15,IF(CDV_PROY_BT!$N$10="3F",3,4),FALSE),IF($D$10="5005 (PREENSAMBLADO)",VLOOKUP(CDV_PROY_BT!H283,FDV!$B$4:$E$9,IF(CDV_PROY_BT!$N$10="3F",3,4),FALSE),VLOOKUP(CDV_PROY_BT!H283,FDV!$B$25:$E$30,IF(CDV_PROY_BT!$N$10="3F",3,4),FALSE)))))</f>
        <v/>
      </c>
      <c r="K283" s="65" t="str">
        <f t="shared" si="36"/>
        <v/>
      </c>
      <c r="L283" s="64" t="str">
        <f t="shared" si="40"/>
        <v/>
      </c>
      <c r="M283" s="64" t="str">
        <f t="shared" si="41"/>
        <v/>
      </c>
      <c r="N283" s="157"/>
      <c r="U283" s="138">
        <f t="shared" si="37"/>
        <v>0</v>
      </c>
      <c r="V283" s="138">
        <f t="shared" si="38"/>
        <v>0</v>
      </c>
    </row>
    <row r="284" spans="1:22" ht="15.75" hidden="1" thickBot="1">
      <c r="A284" s="143"/>
      <c r="B284" s="67" t="str">
        <f>IF(N253="","",N253)</f>
        <v>P32</v>
      </c>
      <c r="C284" s="144"/>
      <c r="D284" s="144"/>
      <c r="E284" s="145"/>
      <c r="F284" s="68" t="str">
        <f>IF($N$242="","",IF($N$242="INDUSTRIAL",IF(OR($D$240="",$D$246=""),"",IF(OR(D284&gt;$D$247,E284&gt;$D$248),"Rev. Total. abona.",IF(D284="",IF(E284="","",E284/(0.92*1000)),IF(OR($D$240="SAN CRISTOBAL",$D$240="FLOREANA"),VLOOKUP(D284,'Estratos SCY - FLO'!$A$4:$M$108,IF($D$246="A1",2,IF($D$246="A",5,IF($D$246="B",8,11))))+E284/(0.92*1000),VLOOKUP(D284,'Estratos SCX - ISA'!$A$3:$M$107,IF($D$246="A1",2,IF($D$246="A",5,IF($D$246="B",8,11))))+E284/(0.92*1000))))),IF(OR($D$240="",$D$246=""),"",IF(OR(D284&gt;$D$247,E284&gt;$D$248),"Rev. Total. abona.",IF(D284="",IF(E284="","",E284/(0.92*1000)),IF(OR($D$240="SAN CRISTOBAL",$D$240="FLOREANA"),VLOOKUP(D284,'Estratos SCY - FLO'!$O$4:$S$108,IF($D$246="A1",2,IF($D$246="A",3,IF($D$246="B",4,5))))+E284/(0.92*1000),VLOOKUP(D284,'Estratos SCX - ISA'!$O$4:$S$108,IF($D$246="A1",2,IF($D$246="A",3,IF($D$246="B",4,5))))+E284/(0.92*1000)))))))</f>
        <v/>
      </c>
      <c r="G284" s="69" t="str">
        <f t="shared" si="39"/>
        <v/>
      </c>
      <c r="H284" s="146" t="e">
        <f>IF(B284="","",IF(B284-A284=1,H283,""))</f>
        <v>#VALUE!</v>
      </c>
      <c r="I284" s="146"/>
      <c r="J284" s="70" t="e">
        <f>IF(OR(H284="",$D$10="",$N$10=""),"",IF($D$10="COBRE",VLOOKUP(CDV_PROY_BT!H284,FDV!$B$16:$E$24,IF(CDV_PROY_BT!$N$10="3F",3,4),FALSE),IF($D$10="ACS",VLOOKUP(CDV_PROY_BT!H284,FDV!$B$10:$E$15,IF(CDV_PROY_BT!$N$10="3F",3,4),FALSE),IF($D$10="5005 (PREENSAMBLADO)",VLOOKUP(CDV_PROY_BT!H284,FDV!$B$4:$E$9,IF(CDV_PROY_BT!$N$10="3F",3,4),FALSE),VLOOKUP(CDV_PROY_BT!H284,FDV!$B$25:$E$30,IF(CDV_PROY_BT!$N$10="3F",3,4),FALSE)))))</f>
        <v>#VALUE!</v>
      </c>
      <c r="K284" s="71" t="str">
        <f t="shared" si="36"/>
        <v/>
      </c>
      <c r="L284" s="68" t="str">
        <f aca="true" t="shared" si="42" ref="L284">IF(C284="","",ROUND(K284/J284,2))</f>
        <v/>
      </c>
      <c r="M284" s="72">
        <v>0</v>
      </c>
      <c r="N284" s="66"/>
      <c r="U284" s="138">
        <f>+IF(D284&gt;0,C284,0)</f>
        <v>0</v>
      </c>
      <c r="V284" s="138">
        <f>IF(C284="",0,C284*G284)</f>
        <v>0</v>
      </c>
    </row>
    <row r="285" spans="1:22" ht="15.75" hidden="1" thickBot="1">
      <c r="A285" s="73" t="s">
        <v>113</v>
      </c>
      <c r="B285" s="74"/>
      <c r="C285" s="75"/>
      <c r="D285" s="75"/>
      <c r="E285" s="76"/>
      <c r="F285" s="77"/>
      <c r="G285" s="78"/>
      <c r="H285" s="79"/>
      <c r="I285" s="79"/>
      <c r="J285" s="78"/>
      <c r="K285" s="121"/>
      <c r="L285" s="121"/>
      <c r="M285" s="128"/>
      <c r="N285" s="233"/>
      <c r="U285" s="138">
        <f>+IF(D285&gt;0,C285,0)</f>
        <v>0</v>
      </c>
      <c r="V285" s="138">
        <f>IF(C285="",0,C285*G285)</f>
        <v>0</v>
      </c>
    </row>
    <row r="286" spans="1:14" ht="15.75" hidden="1" thickBot="1">
      <c r="A286" s="93" t="s">
        <v>96</v>
      </c>
      <c r="B286" s="94">
        <f>+ROUND(SUMIF(H257:H283,"4/0",V257:V285)*1.015,0)</f>
        <v>0</v>
      </c>
      <c r="C286" s="93" t="s">
        <v>97</v>
      </c>
      <c r="D286" s="94">
        <f>ROUND((SUMIF(H257:H283,"3/0",V257:V285))*1.015,0)</f>
        <v>0</v>
      </c>
      <c r="E286" s="82" t="s">
        <v>95</v>
      </c>
      <c r="F286" s="81">
        <f>ROUND((SUMIF(H257:H283,"2/0",V257:V285))*1.015,0)</f>
        <v>0</v>
      </c>
      <c r="G286" s="80" t="s">
        <v>57</v>
      </c>
      <c r="H286" s="81">
        <f>ROUND((SUMIF(H257:H283,"1/0",V257:V285))*1.015,0)</f>
        <v>93</v>
      </c>
      <c r="I286" s="93" t="s">
        <v>58</v>
      </c>
      <c r="J286" s="94">
        <f>ROUND((SUMIF(H257:H283,"2",V257:V285))*1.015,0)</f>
        <v>0</v>
      </c>
      <c r="K286" s="147"/>
      <c r="L286" s="91"/>
      <c r="M286" s="92"/>
      <c r="N286" s="234"/>
    </row>
    <row r="287" spans="1:14" ht="15.75" hidden="1" thickBot="1">
      <c r="A287" s="119" t="s">
        <v>107</v>
      </c>
      <c r="B287" s="92"/>
      <c r="C287" s="91"/>
      <c r="D287" s="92"/>
      <c r="E287" s="91"/>
      <c r="F287" s="92"/>
      <c r="G287" s="91"/>
      <c r="H287" s="92"/>
      <c r="I287" s="92"/>
      <c r="J287" s="91"/>
      <c r="K287" s="92"/>
      <c r="L287" s="91"/>
      <c r="M287" s="92"/>
      <c r="N287" s="234"/>
    </row>
    <row r="288" spans="1:14" ht="15.75" hidden="1" thickBot="1">
      <c r="A288" s="93" t="s">
        <v>96</v>
      </c>
      <c r="B288" s="94">
        <f>+ROUND(SUMIF(I257:I283,"4/0",U257:U285)*1.015,0)</f>
        <v>0</v>
      </c>
      <c r="C288" s="93" t="s">
        <v>97</v>
      </c>
      <c r="D288" s="94">
        <f>ROUND((SUMIF(I257:I283,"3/0",U257:U285))*1.015,0)</f>
        <v>0</v>
      </c>
      <c r="E288" s="93" t="s">
        <v>95</v>
      </c>
      <c r="F288" s="94">
        <f>ROUND((SUMIF(I257:I283,"2/0",U257:U285))*1.015,0)</f>
        <v>0</v>
      </c>
      <c r="G288" s="93" t="s">
        <v>57</v>
      </c>
      <c r="H288" s="94">
        <f>ROUND((SUMIF(I257:I283,"1/0",U257:U285))*1.015,0)</f>
        <v>93</v>
      </c>
      <c r="I288" s="93" t="s">
        <v>58</v>
      </c>
      <c r="J288" s="94">
        <f>ROUND((SUMIF(I257:I283,"2",U257:U285))*1.015,0)</f>
        <v>0</v>
      </c>
      <c r="L288" s="91"/>
      <c r="M288" s="92"/>
      <c r="N288" s="234"/>
    </row>
    <row r="289" spans="1:14" ht="15.75" hidden="1" thickBot="1">
      <c r="A289" s="235" t="s">
        <v>123</v>
      </c>
      <c r="B289" s="235"/>
      <c r="C289" s="235"/>
      <c r="D289" s="21">
        <f>IF(N244="","",SUM(C257:C283))</f>
        <v>92</v>
      </c>
      <c r="E289" s="28" t="s">
        <v>59</v>
      </c>
      <c r="G289" s="21"/>
      <c r="H289" s="21"/>
      <c r="I289" s="21"/>
      <c r="J289" s="21"/>
      <c r="K289" s="21"/>
      <c r="L289" s="21"/>
      <c r="M289" s="23"/>
      <c r="N289" s="83" t="s">
        <v>80</v>
      </c>
    </row>
    <row r="290" spans="1:14" ht="15" hidden="1">
      <c r="A290" s="36" t="s">
        <v>60</v>
      </c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7"/>
      <c r="N290" s="84" t="s">
        <v>61</v>
      </c>
    </row>
    <row r="291" spans="1:14" ht="15.75" hidden="1" thickBot="1">
      <c r="A291" s="148"/>
      <c r="B291" s="238"/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9"/>
      <c r="N291" s="85">
        <f>MAX(N257:N283)</f>
        <v>2.03</v>
      </c>
    </row>
    <row r="292" ht="15.75" hidden="1" thickBot="1"/>
    <row r="293" spans="1:14" ht="15.75" hidden="1" thickBot="1">
      <c r="A293" s="18"/>
      <c r="B293" s="18"/>
      <c r="C293" s="19"/>
      <c r="D293" s="19"/>
      <c r="E293" s="19"/>
      <c r="F293" s="20"/>
      <c r="G293" s="18"/>
      <c r="H293" s="18"/>
      <c r="I293" s="18"/>
      <c r="J293" s="19"/>
      <c r="K293" s="18"/>
      <c r="L293" s="18"/>
      <c r="M293" s="131" t="s">
        <v>122</v>
      </c>
      <c r="N293" s="161" t="s">
        <v>199</v>
      </c>
    </row>
    <row r="294" spans="1:14" ht="18" hidden="1">
      <c r="A294" s="256" t="s">
        <v>62</v>
      </c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</row>
    <row r="295" spans="1:14" ht="18" hidden="1">
      <c r="A295" s="192"/>
      <c r="B295" s="192"/>
      <c r="C295" s="192"/>
      <c r="D295" s="192"/>
      <c r="E295" s="192"/>
      <c r="F295" s="22" t="s">
        <v>111</v>
      </c>
      <c r="G295" s="192"/>
      <c r="H295" s="192"/>
      <c r="I295" s="192"/>
      <c r="J295" s="192"/>
      <c r="K295" s="192"/>
      <c r="L295" s="192"/>
      <c r="M295" s="192"/>
      <c r="N295" s="87"/>
    </row>
    <row r="296" spans="1:31" ht="15.75" hidden="1">
      <c r="A296" s="257" t="s">
        <v>112</v>
      </c>
      <c r="B296" s="257"/>
      <c r="C296" s="257"/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U296" s="138" t="s">
        <v>63</v>
      </c>
      <c r="W296" s="138" t="s">
        <v>24</v>
      </c>
      <c r="Y296" s="138" t="s">
        <v>69</v>
      </c>
      <c r="AA296" s="138" t="s">
        <v>72</v>
      </c>
      <c r="AB296" s="138" t="s">
        <v>77</v>
      </c>
      <c r="AC296" s="138" t="s">
        <v>79</v>
      </c>
      <c r="AD296" s="138" t="s">
        <v>160</v>
      </c>
      <c r="AE296" s="138" t="s">
        <v>166</v>
      </c>
    </row>
    <row r="297" spans="1:31" ht="16.5" hidden="1" thickBot="1">
      <c r="A297" s="24"/>
      <c r="B297" s="18"/>
      <c r="C297" s="19"/>
      <c r="D297" s="19"/>
      <c r="E297" s="19"/>
      <c r="F297" s="20"/>
      <c r="G297" s="20"/>
      <c r="H297" s="18"/>
      <c r="I297" s="18"/>
      <c r="J297" s="18"/>
      <c r="K297" s="19"/>
      <c r="L297" s="18"/>
      <c r="M297" s="18"/>
      <c r="N297" s="23"/>
      <c r="U297" s="138" t="s">
        <v>64</v>
      </c>
      <c r="W297" s="138" t="s">
        <v>82</v>
      </c>
      <c r="Y297" s="138" t="s">
        <v>70</v>
      </c>
      <c r="AA297" s="138" t="s">
        <v>73</v>
      </c>
      <c r="AB297" s="138" t="s">
        <v>29</v>
      </c>
      <c r="AC297" s="139">
        <v>2</v>
      </c>
      <c r="AD297" s="138" t="s">
        <v>161</v>
      </c>
      <c r="AE297" s="138">
        <v>0.65</v>
      </c>
    </row>
    <row r="298" spans="1:31" ht="15.75" hidden="1" thickBot="1">
      <c r="A298" s="25" t="s">
        <v>23</v>
      </c>
      <c r="B298" s="26"/>
      <c r="C298" s="88"/>
      <c r="D298" s="246" t="s">
        <v>64</v>
      </c>
      <c r="E298" s="246"/>
      <c r="F298" s="258" t="s">
        <v>92</v>
      </c>
      <c r="G298" s="259"/>
      <c r="H298" s="260" t="e">
        <f>+H240</f>
        <v>#REF!</v>
      </c>
      <c r="I298" s="261"/>
      <c r="J298" s="262"/>
      <c r="K298" s="263" t="s">
        <v>81</v>
      </c>
      <c r="L298" s="264"/>
      <c r="M298" s="265" t="e">
        <f>+M240</f>
        <v>#REF!</v>
      </c>
      <c r="N298" s="266"/>
      <c r="U298" s="138" t="s">
        <v>65</v>
      </c>
      <c r="W298" s="138" t="s">
        <v>83</v>
      </c>
      <c r="Y298" s="138" t="s">
        <v>7</v>
      </c>
      <c r="AA298" s="138" t="s">
        <v>76</v>
      </c>
      <c r="AB298" s="138" t="s">
        <v>78</v>
      </c>
      <c r="AC298" s="139" t="s">
        <v>0</v>
      </c>
      <c r="AD298" s="138" t="s">
        <v>162</v>
      </c>
      <c r="AE298" s="138">
        <v>0.7</v>
      </c>
    </row>
    <row r="299" spans="1:31" ht="15.75" hidden="1" thickBot="1">
      <c r="A299" s="21"/>
      <c r="B299" s="21"/>
      <c r="C299" s="21"/>
      <c r="D299" s="21"/>
      <c r="E299" s="21"/>
      <c r="F299" s="28"/>
      <c r="G299" s="28"/>
      <c r="H299" s="21"/>
      <c r="I299" s="21"/>
      <c r="J299" s="21"/>
      <c r="K299" s="21"/>
      <c r="L299" s="21"/>
      <c r="M299" s="21"/>
      <c r="N299" s="23"/>
      <c r="U299" s="138" t="s">
        <v>66</v>
      </c>
      <c r="W299" s="138" t="s">
        <v>68</v>
      </c>
      <c r="Y299" s="138" t="s">
        <v>27</v>
      </c>
      <c r="AA299" s="138" t="s">
        <v>74</v>
      </c>
      <c r="AC299" s="139" t="s">
        <v>1</v>
      </c>
      <c r="AD299" s="138" t="s">
        <v>163</v>
      </c>
      <c r="AE299" s="138">
        <v>0.8</v>
      </c>
    </row>
    <row r="300" spans="1:31" ht="15.75" hidden="1" thickBot="1">
      <c r="A300" s="25" t="s">
        <v>24</v>
      </c>
      <c r="B300" s="26"/>
      <c r="C300" s="26"/>
      <c r="D300" s="245" t="s">
        <v>68</v>
      </c>
      <c r="E300" s="246"/>
      <c r="F300" s="247"/>
      <c r="G300" s="26"/>
      <c r="H300" s="29"/>
      <c r="I300" s="29"/>
      <c r="J300" s="26"/>
      <c r="K300" s="26"/>
      <c r="L300" s="26" t="s">
        <v>164</v>
      </c>
      <c r="M300" s="26"/>
      <c r="N300" s="208" t="s">
        <v>163</v>
      </c>
      <c r="U300" s="138" t="s">
        <v>67</v>
      </c>
      <c r="Y300" s="138" t="s">
        <v>9</v>
      </c>
      <c r="AA300" s="138" t="s">
        <v>75</v>
      </c>
      <c r="AC300" s="139" t="s">
        <v>2</v>
      </c>
      <c r="AE300" s="138">
        <v>0.9</v>
      </c>
    </row>
    <row r="301" spans="1:31" ht="15.75" hidden="1" thickBot="1">
      <c r="A301" s="23" t="s">
        <v>25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 t="s">
        <v>168</v>
      </c>
      <c r="L301" s="205"/>
      <c r="M301" s="23"/>
      <c r="N301" s="43" t="str">
        <f>IF(N302="","",IF(N302="3F","220 / 127 V","240 / 120 V"))</f>
        <v>220 / 127 V</v>
      </c>
      <c r="AC301" s="141" t="s">
        <v>3</v>
      </c>
      <c r="AE301" s="138">
        <v>1</v>
      </c>
    </row>
    <row r="302" spans="1:24" ht="15.75" hidden="1" thickBot="1">
      <c r="A302" s="30" t="s">
        <v>26</v>
      </c>
      <c r="B302" s="18"/>
      <c r="C302" s="23"/>
      <c r="D302" s="248" t="s">
        <v>70</v>
      </c>
      <c r="E302" s="249"/>
      <c r="F302" s="18"/>
      <c r="G302" s="18"/>
      <c r="H302" s="18"/>
      <c r="I302" s="18"/>
      <c r="J302" s="18"/>
      <c r="K302" s="23"/>
      <c r="L302" s="18" t="s">
        <v>169</v>
      </c>
      <c r="M302" s="18"/>
      <c r="N302" s="151" t="s">
        <v>78</v>
      </c>
      <c r="U302" s="138" t="s">
        <v>64</v>
      </c>
      <c r="W302" s="138" t="s">
        <v>29</v>
      </c>
      <c r="X302" s="138" t="s">
        <v>78</v>
      </c>
    </row>
    <row r="303" spans="1:24" ht="15.75" hidden="1" thickBot="1">
      <c r="A303" s="23"/>
      <c r="B303" s="31"/>
      <c r="C303" s="23"/>
      <c r="D303" s="19"/>
      <c r="E303" s="32"/>
      <c r="F303" s="32"/>
      <c r="G303" s="20"/>
      <c r="H303" s="20"/>
      <c r="I303" s="20"/>
      <c r="J303" s="33"/>
      <c r="K303" s="21" t="s">
        <v>165</v>
      </c>
      <c r="L303" s="35"/>
      <c r="M303" s="18"/>
      <c r="N303" s="206">
        <v>0.65</v>
      </c>
      <c r="U303" s="138" t="s">
        <v>84</v>
      </c>
      <c r="W303" s="138">
        <v>10</v>
      </c>
      <c r="X303" s="138">
        <v>30</v>
      </c>
    </row>
    <row r="304" spans="1:24" ht="15.75" hidden="1" thickBot="1">
      <c r="A304" s="36" t="s">
        <v>71</v>
      </c>
      <c r="B304" s="37"/>
      <c r="C304" s="37"/>
      <c r="D304" s="150" t="s">
        <v>73</v>
      </c>
      <c r="E304" s="38"/>
      <c r="F304" s="39"/>
      <c r="G304" s="39"/>
      <c r="H304" s="39"/>
      <c r="I304" s="39"/>
      <c r="J304" s="37"/>
      <c r="K304" s="36"/>
      <c r="L304" s="37"/>
      <c r="M304" s="89" t="s">
        <v>30</v>
      </c>
      <c r="N304" s="190" t="s">
        <v>143</v>
      </c>
      <c r="U304" s="138" t="s">
        <v>85</v>
      </c>
      <c r="W304" s="138">
        <v>15</v>
      </c>
      <c r="X304" s="138">
        <v>50</v>
      </c>
    </row>
    <row r="305" spans="1:24" ht="15.75" hidden="1" thickBot="1">
      <c r="A305" s="41" t="s">
        <v>31</v>
      </c>
      <c r="B305" s="21"/>
      <c r="C305" s="21"/>
      <c r="D305" s="150">
        <v>18</v>
      </c>
      <c r="E305" s="21"/>
      <c r="F305" s="28"/>
      <c r="G305" s="42" t="s">
        <v>32</v>
      </c>
      <c r="H305" s="250" t="e">
        <f>+H247</f>
        <v>#REF!</v>
      </c>
      <c r="I305" s="251"/>
      <c r="J305" s="251"/>
      <c r="K305" s="41"/>
      <c r="L305" s="21"/>
      <c r="M305" s="115" t="s">
        <v>93</v>
      </c>
      <c r="N305" s="207">
        <f>+N306/N303</f>
        <v>113.5188169797801</v>
      </c>
      <c r="U305" s="138" t="s">
        <v>86</v>
      </c>
      <c r="W305" s="138">
        <v>25</v>
      </c>
      <c r="X305" s="138">
        <v>75</v>
      </c>
    </row>
    <row r="306" spans="1:24" ht="15.75" hidden="1" thickBot="1">
      <c r="A306" s="41" t="s">
        <v>34</v>
      </c>
      <c r="B306" s="21"/>
      <c r="C306" s="21"/>
      <c r="D306" s="162">
        <v>770</v>
      </c>
      <c r="E306" s="41"/>
      <c r="F306" s="28"/>
      <c r="G306" s="42" t="s">
        <v>35</v>
      </c>
      <c r="H306" s="252" t="e">
        <f>+H248</f>
        <v>#REF!</v>
      </c>
      <c r="I306" s="253"/>
      <c r="J306" s="253"/>
      <c r="K306" s="41"/>
      <c r="L306" s="21"/>
      <c r="M306" s="115" t="s">
        <v>167</v>
      </c>
      <c r="N306" s="116">
        <f>IF($N$300="","",IF($N$300="INDUSTRIAL",IF(OR(D298="",D304="",D305=""),"",(IF(OR(D298="SAN CRISTOBAL",D298="FLOREANA"),VLOOKUP(D305,'Estratos SCY - FLO'!$A$4:$M$108,IF(D304="A1",2,IF(D304="A",5,IF(D304="B",8,11))),0),VLOOKUP(D305,'Estratos SCX - ISA'!$A$4:$M$108,IF(D304="A1",2,IF(D304="A",5,IF(D304="B",8,11))),0))+D306/920)*N303),IF(OR(D298="",D304="",D305=""),"",(IF(OR(D298="SAN CRISTOBAL",D298="FLOREANA"),VLOOKUP(D305,'Estratos SCY - FLO'!$O$4:$S$108,IF(D304="A1",2,IF(D304="A",3,IF(D304="B",4,5))),0),VLOOKUP(D305,'Estratos SCX - ISA'!$O$4:$S$108,IF(D304="A1",2,IF(D304="A",3,IF(D304="B",4,5))),0))+D306/920)*N303)))</f>
        <v>73.78723103685707</v>
      </c>
      <c r="U306" s="138" t="s">
        <v>87</v>
      </c>
      <c r="W306" s="138">
        <v>37.5</v>
      </c>
      <c r="X306" s="138">
        <v>100</v>
      </c>
    </row>
    <row r="307" spans="1:24" ht="41.25" customHeight="1" hidden="1" thickBot="1">
      <c r="A307" s="254" t="str">
        <f>+IF(OR(N300="INDUSTRIAL"),"NOTA: Estratos:  A1 (Consumo-Alto); A (Consumo-Medio); B(Consumo-Bajo); C(Consumo-Mínimo)",IF(N300="","","NOTA: Estratos:  A1 (Casco Urbano-Sector hotelero);A (Barrios Centricos); B(Zona Periferica); C(Zona Rural)"))</f>
        <v>NOTA: Estratos:  A1 (Consumo-Alto); A (Consumo-Medio); B(Consumo-Bajo); C(Consumo-Mínimo)</v>
      </c>
      <c r="B307" s="255"/>
      <c r="C307" s="255"/>
      <c r="D307" s="255"/>
      <c r="E307" s="255"/>
      <c r="F307" s="255"/>
      <c r="G307" s="255"/>
      <c r="H307" s="255"/>
      <c r="I307" s="255"/>
      <c r="J307" s="255"/>
      <c r="K307" s="44"/>
      <c r="L307" s="34"/>
      <c r="M307" s="130" t="str">
        <f>+IF(OR(N302="",D304="",D305=""),"","POT. NOMINAL TRAFO. (KVA):")</f>
        <v>POT. NOMINAL TRAFO. (KVA):</v>
      </c>
      <c r="N307" s="117">
        <f>IF(OR(N302="",N303="",N303=0),"",IF(N302="1F",IF(N306&lt;$W$11,$W$11,IF(AND(N306&gt;$W$11,N306&lt;$W$12),$W$12,IF(AND(N306&gt;$W$12,N306&lt;$W$13),$W$13,IF(AND(N306&gt;$W$13,N306&lt;$W$14),$W$14,IF(AND(N306&gt;$W$14,N306&lt;$W$15),$W$15,IF(AND(N306&gt;$W$15,N306&lt;$W$16),$W$16,IF(AND(N306&gt;$W$16,N306&lt;$W$17),$W$17,IF(AND(N306&gt;$W$17,N306&lt;$W$18),$W$18,IF(AND(N306&gt;$W$18,N306&lt;$W$19),$W$19,""))))))))),IF($N$306&lt;$X$11,$X$11,IF(AND(N306&gt;$X$11,N306&lt;$X$12),$X$12,IF(AND(N306&gt;$X$12,N306&lt;$X$13),$X$13,IF(AND(N306&gt;$X$13,N306&lt;$X$14),$X$14,IF(AND(N306&gt;$X$14,N306&lt;$X$15),$X$15,IF(AND(N306&gt;$X$15,N306&lt;$X$16),$X$16,IF(AND(N306&gt;$X$16,N306&lt;$X$17),$X$17,"")))))))))</f>
        <v>75</v>
      </c>
      <c r="U307" s="138" t="s">
        <v>88</v>
      </c>
      <c r="W307" s="138">
        <v>50</v>
      </c>
      <c r="X307" s="138">
        <v>125</v>
      </c>
    </row>
    <row r="308" spans="1:24" ht="15.75" hidden="1" thickBot="1">
      <c r="A308" s="21"/>
      <c r="B308" s="21"/>
      <c r="C308" s="21"/>
      <c r="D308" s="21"/>
      <c r="E308" s="21"/>
      <c r="F308" s="28"/>
      <c r="G308" s="28"/>
      <c r="H308" s="21"/>
      <c r="I308" s="21"/>
      <c r="J308" s="21"/>
      <c r="K308" s="21"/>
      <c r="L308" s="21"/>
      <c r="M308" s="21"/>
      <c r="N308" s="23"/>
      <c r="U308" s="138" t="s">
        <v>89</v>
      </c>
      <c r="W308" s="138">
        <v>75</v>
      </c>
      <c r="X308" s="138">
        <v>150</v>
      </c>
    </row>
    <row r="309" spans="1:24" ht="19.5" hidden="1" thickBot="1">
      <c r="A309" s="46" t="s">
        <v>36</v>
      </c>
      <c r="B309" s="47"/>
      <c r="C309" s="47"/>
      <c r="D309" s="48" t="s">
        <v>37</v>
      </c>
      <c r="E309" s="49"/>
      <c r="F309" s="50"/>
      <c r="G309" s="50"/>
      <c r="H309" s="37"/>
      <c r="I309" s="37"/>
      <c r="J309" s="37"/>
      <c r="K309" s="37"/>
      <c r="L309" s="37"/>
      <c r="M309" s="37"/>
      <c r="N309" s="40"/>
      <c r="U309" s="138" t="s">
        <v>90</v>
      </c>
      <c r="W309" s="138">
        <v>100</v>
      </c>
      <c r="X309" s="138">
        <v>200</v>
      </c>
    </row>
    <row r="310" spans="1:23" ht="15.75" hidden="1" thickBot="1">
      <c r="A310" s="41"/>
      <c r="B310" s="21"/>
      <c r="C310" s="21"/>
      <c r="D310" s="21"/>
      <c r="E310" s="21"/>
      <c r="F310" s="28"/>
      <c r="G310" s="28"/>
      <c r="H310" s="21"/>
      <c r="I310" s="21"/>
      <c r="J310" s="21"/>
      <c r="K310" s="21"/>
      <c r="L310" s="21" t="s">
        <v>186</v>
      </c>
      <c r="M310" s="21"/>
      <c r="N310" s="163"/>
      <c r="U310" s="138" t="s">
        <v>91</v>
      </c>
      <c r="W310" s="138">
        <v>112.5</v>
      </c>
    </row>
    <row r="311" spans="1:23" ht="15.75" hidden="1" thickBot="1">
      <c r="A311" s="44"/>
      <c r="B311" s="34"/>
      <c r="C311" s="34"/>
      <c r="D311" s="34"/>
      <c r="E311" s="34"/>
      <c r="F311" s="45"/>
      <c r="G311" s="45"/>
      <c r="H311" s="34"/>
      <c r="I311" s="34"/>
      <c r="J311" s="34"/>
      <c r="K311" s="34"/>
      <c r="L311" s="113" t="s">
        <v>102</v>
      </c>
      <c r="M311" s="142"/>
      <c r="N311" s="163" t="s">
        <v>147</v>
      </c>
      <c r="W311" s="138">
        <v>125</v>
      </c>
    </row>
    <row r="312" spans="1:14" ht="15.75" hidden="1" thickBot="1">
      <c r="A312" s="21"/>
      <c r="B312" s="21"/>
      <c r="C312" s="21"/>
      <c r="D312" s="21"/>
      <c r="E312" s="21"/>
      <c r="F312" s="28"/>
      <c r="G312" s="28"/>
      <c r="H312" s="21"/>
      <c r="I312" s="21"/>
      <c r="J312" s="21"/>
      <c r="K312" s="21"/>
      <c r="L312" s="21"/>
      <c r="M312" s="21"/>
      <c r="N312" s="23"/>
    </row>
    <row r="313" spans="1:22" ht="15.75" hidden="1" thickBot="1">
      <c r="A313" s="240" t="s">
        <v>38</v>
      </c>
      <c r="B313" s="241"/>
      <c r="C313" s="52" t="s">
        <v>39</v>
      </c>
      <c r="D313" s="52" t="s">
        <v>40</v>
      </c>
      <c r="E313" s="53" t="s">
        <v>41</v>
      </c>
      <c r="F313" s="53" t="s">
        <v>42</v>
      </c>
      <c r="G313" s="240" t="s">
        <v>43</v>
      </c>
      <c r="H313" s="242"/>
      <c r="I313" s="242"/>
      <c r="J313" s="241"/>
      <c r="K313" s="243" t="s">
        <v>44</v>
      </c>
      <c r="L313" s="242" t="s">
        <v>45</v>
      </c>
      <c r="M313" s="242"/>
      <c r="N313" s="241"/>
      <c r="U313" s="232" t="s">
        <v>98</v>
      </c>
      <c r="V313" s="232" t="s">
        <v>99</v>
      </c>
    </row>
    <row r="314" spans="1:22" ht="15.75" hidden="1" thickBot="1">
      <c r="A314" s="52" t="s">
        <v>46</v>
      </c>
      <c r="B314" s="52" t="s">
        <v>47</v>
      </c>
      <c r="C314" s="54" t="s">
        <v>48</v>
      </c>
      <c r="D314" s="54" t="s">
        <v>49</v>
      </c>
      <c r="E314" s="55" t="s">
        <v>50</v>
      </c>
      <c r="F314" s="55" t="s">
        <v>51</v>
      </c>
      <c r="G314" s="56" t="s">
        <v>52</v>
      </c>
      <c r="H314" s="43" t="s">
        <v>105</v>
      </c>
      <c r="I314" s="124" t="s">
        <v>106</v>
      </c>
      <c r="J314" s="43" t="s">
        <v>53</v>
      </c>
      <c r="K314" s="244"/>
      <c r="L314" s="53" t="s">
        <v>54</v>
      </c>
      <c r="M314" s="43" t="s">
        <v>55</v>
      </c>
      <c r="N314" s="57" t="s">
        <v>56</v>
      </c>
      <c r="U314" s="232"/>
      <c r="V314" s="232"/>
    </row>
    <row r="315" spans="1:22" ht="15" hidden="1">
      <c r="A315" s="191" t="str">
        <f>IF(N311="","",N311)</f>
        <v>P26</v>
      </c>
      <c r="B315" s="164" t="s">
        <v>154</v>
      </c>
      <c r="C315" s="165">
        <v>23</v>
      </c>
      <c r="D315" s="165"/>
      <c r="E315" s="166">
        <v>220</v>
      </c>
      <c r="F315" s="193">
        <f>IF($N$300="","",IF($N$300="INDUSTRIAL",IF(OR($D$298="",$D$304=""),"",IF(OR(D315&gt;$D$305,E315&gt;$D$306),"Rev. Total. abona.",IF(D315="",IF(E315="","",E315/(0.92*1000)),IF(OR($D$298="SAN CRISTOBAL",$D$298="FLOREANA"),VLOOKUP(D315,'Estratos SCY - FLO'!$A$4:$M$108,IF($D$304="A1",2,IF($D$304="A",5,IF($D$304="B",8,11))))+E315/(0.92*1000),VLOOKUP(D315,'Estratos SCX - ISA'!$A$3:$M$107,IF($D$304="A1",2,IF($D$304="A",5,IF($D$304="B",8,11))))+E315/(0.92*1000))))),IF(OR($D$298="",$D$304=""),"",IF(OR(D315&gt;$D$305,E315&gt;$D$306),"Rev. Total. abona.",IF(D315="",IF(E315="","",E315/(0.92*1000)),IF(OR($D$298="SAN CRISTOBAL",$D$298="FLOREANA"),VLOOKUP(D315,'Estratos SCY - FLO'!$O$4:$S$108,IF($D$304="A1",2,IF($D$304="A",3,IF($D$304="B",4,5))))+E315/(0.92*1000),VLOOKUP(D315,'Estratos SCX - ISA'!$O$4:$S$108,IF($D$304="A1",2,IF($D$304="A",3,IF($D$304="B",4,5))))+E315/(0.92*1000)))))))</f>
        <v>0.2391304347826087</v>
      </c>
      <c r="G315" s="95">
        <f>IF(OR($N$10="",C315=""),"",IF($N$10="1F",1,3))</f>
        <v>1</v>
      </c>
      <c r="H315" s="182">
        <v>2</v>
      </c>
      <c r="I315" s="182">
        <v>2</v>
      </c>
      <c r="J315" s="95">
        <f>IF(OR(H315="",$D$10="",$N$10=""),"",IF($D$10="COBRE",VLOOKUP(CDV_PROY_BT!H315,FDV!$B$16:$E$24,IF(CDV_PROY_BT!$N$10="3F",3,4),FALSE),IF($D$10="ACS",VLOOKUP(CDV_PROY_BT!H315,FDV!$B$10:$E$15,IF(CDV_PROY_BT!$N$10="3F",3,4),FALSE),IF($D$10="5005 (PREENSAMBLADO)",VLOOKUP(CDV_PROY_BT!H315,FDV!$B$4:$E$9,IF(CDV_PROY_BT!$N$10="3F",3,4),FALSE),VLOOKUP(CDV_PROY_BT!H315,FDV!$B$25:$E$30,IF(CDV_PROY_BT!$N$10="3F",3,4),FALSE)))))</f>
        <v>279</v>
      </c>
      <c r="K315" s="60">
        <f aca="true" t="shared" si="43" ref="K315:K342">IF(C315="","",ROUND(F315*C315,0))</f>
        <v>6</v>
      </c>
      <c r="L315" s="61">
        <f>IF($N$19="","",IF(C315="","",ROUND(K315/J315,2)))</f>
        <v>0.02</v>
      </c>
      <c r="M315" s="61">
        <f>IF(C315="","",VLOOKUP(A315,$B$315:$N$342,12,FALSE)+L315+N310)</f>
        <v>0.02</v>
      </c>
      <c r="N315" s="154">
        <f>+M315</f>
        <v>0.02</v>
      </c>
      <c r="U315" s="138">
        <f>+IF(C315="",0,C315)</f>
        <v>23</v>
      </c>
      <c r="V315" s="138">
        <f>IF(OR(C315="",G315=""),0,C315*G315)</f>
        <v>23</v>
      </c>
    </row>
    <row r="316" spans="1:22" ht="15" hidden="1">
      <c r="A316" s="167" t="s">
        <v>147</v>
      </c>
      <c r="B316" s="168" t="s">
        <v>144</v>
      </c>
      <c r="C316" s="169">
        <v>29</v>
      </c>
      <c r="D316" s="169">
        <v>6</v>
      </c>
      <c r="E316" s="170">
        <v>220</v>
      </c>
      <c r="F316" s="62">
        <f>IF($N$300="","",IF($N$300="INDUSTRIAL",IF(OR($D$298="",$D$304=""),"",IF(OR(D316&gt;$D$305,E316&gt;$D$306),"Rev. Total. abona.",IF(D316="",IF(E316="","",E316/(0.92*1000)),IF(OR($D$298="SAN CRISTOBAL",$D$298="FLOREANA"),VLOOKUP(D316,'Estratos SCY - FLO'!$A$4:$M$108,IF($D$304="A1",2,IF($D$304="A",5,IF($D$304="B",8,11))))+E316/(0.92*1000),VLOOKUP(D316,'Estratos SCX - ISA'!$A$3:$M$107,IF($D$304="A1",2,IF($D$304="A",5,IF($D$304="B",8,11))))+E316/(0.92*1000))))),IF(OR($D$298="",$D$304=""),"",IF(OR(D316&gt;$D$305,E316&gt;$D$306),"Rev. Total. abona.",IF(D316="",IF(E316="","",E316/(0.92*1000)),IF(OR($D$298="SAN CRISTOBAL",$D$298="FLOREANA"),VLOOKUP(D316,'Estratos SCY - FLO'!$O$4:$S$108,IF($D$304="A1",2,IF($D$304="A",3,IF($D$304="B",4,5))))+E316/(0.92*1000),VLOOKUP(D316,'Estratos SCX - ISA'!$O$4:$S$108,IF($D$304="A1",2,IF($D$304="A",3,IF($D$304="B",4,5))))+E316/(0.92*1000)))))))</f>
        <v>41.7033663773777</v>
      </c>
      <c r="G316" s="59">
        <f aca="true" t="shared" si="44" ref="G316:G342">IF(OR($N$10="",C316=""),"",IF($N$10="1F",1,3))</f>
        <v>1</v>
      </c>
      <c r="H316" s="183" t="s">
        <v>0</v>
      </c>
      <c r="I316" s="183" t="s">
        <v>0</v>
      </c>
      <c r="J316" s="59">
        <f>IF(OR(H316="",$D$10="",$N$10=""),"",IF($D$10="COBRE",VLOOKUP(CDV_PROY_BT!H316,FDV!$B$16:$E$24,IF(CDV_PROY_BT!$N$10="3F",3,4),FALSE),IF($D$10="ACS",VLOOKUP(CDV_PROY_BT!H316,FDV!$B$10:$E$15,IF(CDV_PROY_BT!$N$10="3F",3,4),FALSE),IF($D$10="5005 (PREENSAMBLADO)",VLOOKUP(CDV_PROY_BT!H316,FDV!$B$4:$E$9,IF(CDV_PROY_BT!$N$10="3F",3,4),FALSE),VLOOKUP(CDV_PROY_BT!H316,FDV!$B$25:$E$30,IF(CDV_PROY_BT!$N$10="3F",3,4),FALSE)))))</f>
        <v>412</v>
      </c>
      <c r="K316" s="63">
        <f t="shared" si="43"/>
        <v>1209</v>
      </c>
      <c r="L316" s="62">
        <f aca="true" t="shared" si="45" ref="L316:L341">IF($N$19="","",IF(C316="","",ROUND(K316/J316,2)))</f>
        <v>2.93</v>
      </c>
      <c r="M316" s="62">
        <f aca="true" t="shared" si="46" ref="M316:M341">IF(C316="","",VLOOKUP(A316,$B$315:$N$342,12,FALSE)+L316)</f>
        <v>2.93</v>
      </c>
      <c r="N316" s="155"/>
      <c r="U316" s="138">
        <f aca="true" t="shared" si="47" ref="U316:U341">+IF(C316="",0,C316)</f>
        <v>29</v>
      </c>
      <c r="V316" s="138">
        <f aca="true" t="shared" si="48" ref="V316:V341">IF(OR(C316="",G316=""),0,C316*G316)</f>
        <v>29</v>
      </c>
    </row>
    <row r="317" spans="1:22" ht="15" hidden="1">
      <c r="A317" s="167" t="s">
        <v>144</v>
      </c>
      <c r="B317" s="168" t="s">
        <v>184</v>
      </c>
      <c r="C317" s="169">
        <v>29</v>
      </c>
      <c r="D317" s="169">
        <v>3</v>
      </c>
      <c r="E317" s="170">
        <v>110</v>
      </c>
      <c r="F317" s="58">
        <f>IF($N$300="","",IF($N$300="INDUSTRIAL",IF(OR($D$298="",$D$304=""),"",IF(OR(D317&gt;$D$305,E317&gt;$D$306),"Rev. Total. abona.",IF(D317="",IF(E317="","",E317/(0.92*1000)),IF(OR($D$298="SAN CRISTOBAL",$D$298="FLOREANA"),VLOOKUP(D317,'Estratos SCY - FLO'!$A$4:$M$108,IF($D$304="A1",2,IF($D$304="A",5,IF($D$304="B",8,11))))+E317/(0.92*1000),VLOOKUP(D317,'Estratos SCX - ISA'!$A$3:$M$107,IF($D$304="A1",2,IF($D$304="A",5,IF($D$304="B",8,11))))+E317/(0.92*1000))))),IF(OR($D$298="",$D$304=""),"",IF(OR(D317&gt;$D$305,E317&gt;$D$306),"Rev. Total. abona.",IF(D317="",IF(E317="","",E317/(0.92*1000)),IF(OR($D$298="SAN CRISTOBAL",$D$298="FLOREANA"),VLOOKUP(D317,'Estratos SCY - FLO'!$O$4:$S$108,IF($D$304="A1",2,IF($D$304="A",3,IF($D$304="B",4,5))))+E317/(0.92*1000),VLOOKUP(D317,'Estratos SCX - ISA'!$O$4:$S$108,IF($D$304="A1",2,IF($D$304="A",3,IF($D$304="B",4,5))))+E317/(0.92*1000)))))))</f>
        <v>22.186213405145857</v>
      </c>
      <c r="G317" s="59">
        <f t="shared" si="44"/>
        <v>1</v>
      </c>
      <c r="H317" s="183" t="s">
        <v>0</v>
      </c>
      <c r="I317" s="183" t="s">
        <v>0</v>
      </c>
      <c r="J317" s="59">
        <f>IF(OR(H317="",$D$10="",$N$10=""),"",IF($D$10="COBRE",VLOOKUP(CDV_PROY_BT!H317,FDV!$B$16:$E$24,IF(CDV_PROY_BT!$N$10="3F",3,4),FALSE),IF($D$10="ACS",VLOOKUP(CDV_PROY_BT!H317,FDV!$B$10:$E$15,IF(CDV_PROY_BT!$N$10="3F",3,4),FALSE),IF($D$10="5005 (PREENSAMBLADO)",VLOOKUP(CDV_PROY_BT!H317,FDV!$B$4:$E$9,IF(CDV_PROY_BT!$N$10="3F",3,4),FALSE),VLOOKUP(CDV_PROY_BT!H317,FDV!$B$25:$E$30,IF(CDV_PROY_BT!$N$10="3F",3,4),FALSE)))))</f>
        <v>412</v>
      </c>
      <c r="K317" s="63">
        <f t="shared" si="43"/>
        <v>643</v>
      </c>
      <c r="L317" s="62">
        <f t="shared" si="45"/>
        <v>1.56</v>
      </c>
      <c r="M317" s="62">
        <f t="shared" si="46"/>
        <v>4.49</v>
      </c>
      <c r="N317" s="155">
        <f>+M317</f>
        <v>4.49</v>
      </c>
      <c r="U317" s="138">
        <f t="shared" si="47"/>
        <v>29</v>
      </c>
      <c r="V317" s="138">
        <f t="shared" si="48"/>
        <v>29</v>
      </c>
    </row>
    <row r="318" spans="1:22" ht="15" hidden="1">
      <c r="A318" s="167" t="s">
        <v>147</v>
      </c>
      <c r="B318" s="168" t="s">
        <v>148</v>
      </c>
      <c r="C318" s="169">
        <v>28</v>
      </c>
      <c r="D318" s="169">
        <v>7</v>
      </c>
      <c r="E318" s="170">
        <v>220</v>
      </c>
      <c r="F318" s="58">
        <f>IF($N$300="","",IF($N$300="INDUSTRIAL",IF(OR($D$298="",$D$304=""),"",IF(OR(D318&gt;$D$305,E318&gt;$D$306),"Rev. Total. abona.",IF(D318="",IF(E318="","",E318/(0.92*1000)),IF(OR($D$298="SAN CRISTOBAL",$D$298="FLOREANA"),VLOOKUP(D318,'Estratos SCY - FLO'!$A$4:$M$108,IF($D$304="A1",2,IF($D$304="A",5,IF($D$304="B",8,11))))+E318/(0.92*1000),VLOOKUP(D318,'Estratos SCX - ISA'!$A$3:$M$107,IF($D$304="A1",2,IF($D$304="A",5,IF($D$304="B",8,11))))+E318/(0.92*1000))))),IF(OR($D$298="",$D$304=""),"",IF(OR(D318&gt;$D$305,E318&gt;$D$306),"Rev. Total. abona.",IF(D318="",IF(E318="","",E318/(0.92*1000)),IF(OR($D$298="SAN CRISTOBAL",$D$298="FLOREANA"),VLOOKUP(D318,'Estratos SCY - FLO'!$O$4:$S$108,IF($D$304="A1",2,IF($D$304="A",3,IF($D$304="B",4,5))))+E318/(0.92*1000),VLOOKUP(D318,'Estratos SCX - ISA'!$O$4:$S$108,IF($D$304="A1",2,IF($D$304="A",3,IF($D$304="B",4,5))))+E318/(0.92*1000)))))))</f>
        <v>47.94757369652129</v>
      </c>
      <c r="G318" s="59">
        <f t="shared" si="44"/>
        <v>1</v>
      </c>
      <c r="H318" s="183" t="s">
        <v>0</v>
      </c>
      <c r="I318" s="183" t="s">
        <v>0</v>
      </c>
      <c r="J318" s="59">
        <f>IF(OR(H318="",$D$10="",$N$10=""),"",IF($D$10="COBRE",VLOOKUP(CDV_PROY_BT!H318,FDV!$B$16:$E$24,IF(CDV_PROY_BT!$N$10="3F",3,4),FALSE),IF($D$10="ACS",VLOOKUP(CDV_PROY_BT!H318,FDV!$B$10:$E$15,IF(CDV_PROY_BT!$N$10="3F",3,4),FALSE),IF($D$10="5005 (PREENSAMBLADO)",VLOOKUP(CDV_PROY_BT!H318,FDV!$B$4:$E$9,IF(CDV_PROY_BT!$N$10="3F",3,4),FALSE),VLOOKUP(CDV_PROY_BT!H318,FDV!$B$25:$E$30,IF(CDV_PROY_BT!$N$10="3F",3,4),FALSE)))))</f>
        <v>412</v>
      </c>
      <c r="K318" s="63">
        <f t="shared" si="43"/>
        <v>1343</v>
      </c>
      <c r="L318" s="62">
        <f t="shared" si="45"/>
        <v>3.26</v>
      </c>
      <c r="M318" s="62">
        <f t="shared" si="46"/>
        <v>3.26</v>
      </c>
      <c r="N318" s="155"/>
      <c r="U318" s="138">
        <f t="shared" si="47"/>
        <v>28</v>
      </c>
      <c r="V318" s="138">
        <f t="shared" si="48"/>
        <v>28</v>
      </c>
    </row>
    <row r="319" spans="1:22" ht="15" hidden="1">
      <c r="A319" s="167" t="s">
        <v>148</v>
      </c>
      <c r="B319" s="168" t="s">
        <v>202</v>
      </c>
      <c r="C319" s="169">
        <v>28</v>
      </c>
      <c r="D319" s="169">
        <v>6</v>
      </c>
      <c r="E319" s="170">
        <v>110</v>
      </c>
      <c r="F319" s="58">
        <f>IF($N$300="","",IF($N$300="INDUSTRIAL",IF(OR($D$298="",$D$304=""),"",IF(OR(D319&gt;$D$305,E319&gt;$D$306),"Rev. Total. abona.",IF(D319="",IF(E319="","",E319/(0.92*1000)),IF(OR($D$298="SAN CRISTOBAL",$D$298="FLOREANA"),VLOOKUP(D319,'Estratos SCY - FLO'!$A$4:$M$108,IF($D$304="A1",2,IF($D$304="A",5,IF($D$304="B",8,11))))+E319/(0.92*1000),VLOOKUP(D319,'Estratos SCX - ISA'!$A$3:$M$107,IF($D$304="A1",2,IF($D$304="A",5,IF($D$304="B",8,11))))+E319/(0.92*1000))))),IF(OR($D$298="",$D$304=""),"",IF(OR(D319&gt;$D$305,E319&gt;$D$306),"Rev. Total. abona.",IF(D319="",IF(E319="","",E319/(0.92*1000)),IF(OR($D$298="SAN CRISTOBAL",$D$298="FLOREANA"),VLOOKUP(D319,'Estratos SCY - FLO'!$O$4:$S$108,IF($D$304="A1",2,IF($D$304="A",3,IF($D$304="B",4,5))))+E319/(0.92*1000),VLOOKUP(D319,'Estratos SCX - ISA'!$O$4:$S$108,IF($D$304="A1",2,IF($D$304="A",3,IF($D$304="B",4,5))))+E319/(0.92*1000)))))))</f>
        <v>41.58380115998639</v>
      </c>
      <c r="G319" s="59">
        <f t="shared" si="44"/>
        <v>1</v>
      </c>
      <c r="H319" s="183" t="s">
        <v>0</v>
      </c>
      <c r="I319" s="183" t="s">
        <v>0</v>
      </c>
      <c r="J319" s="59">
        <f>IF(OR(H319="",$D$10="",$N$10=""),"",IF($D$10="COBRE",VLOOKUP(CDV_PROY_BT!H319,FDV!$B$16:$E$24,IF(CDV_PROY_BT!$N$10="3F",3,4),FALSE),IF($D$10="ACS",VLOOKUP(CDV_PROY_BT!H319,FDV!$B$10:$E$15,IF(CDV_PROY_BT!$N$10="3F",3,4),FALSE),IF($D$10="5005 (PREENSAMBLADO)",VLOOKUP(CDV_PROY_BT!H319,FDV!$B$4:$E$9,IF(CDV_PROY_BT!$N$10="3F",3,4),FALSE),VLOOKUP(CDV_PROY_BT!H319,FDV!$B$25:$E$30,IF(CDV_PROY_BT!$N$10="3F",3,4),FALSE)))))</f>
        <v>412</v>
      </c>
      <c r="K319" s="63">
        <f t="shared" si="43"/>
        <v>1164</v>
      </c>
      <c r="L319" s="62">
        <f t="shared" si="45"/>
        <v>2.83</v>
      </c>
      <c r="M319" s="62">
        <f t="shared" si="46"/>
        <v>6.09</v>
      </c>
      <c r="N319" s="155">
        <f>+M319</f>
        <v>6.09</v>
      </c>
      <c r="U319" s="138">
        <f t="shared" si="47"/>
        <v>28</v>
      </c>
      <c r="V319" s="138">
        <f t="shared" si="48"/>
        <v>28</v>
      </c>
    </row>
    <row r="320" spans="1:22" ht="15" hidden="1">
      <c r="A320" s="167"/>
      <c r="B320" s="168"/>
      <c r="C320" s="169"/>
      <c r="D320" s="169"/>
      <c r="E320" s="170"/>
      <c r="F320" s="58" t="str">
        <f>IF($N$300="","",IF($N$300="INDUSTRIAL",IF(OR($D$298="",$D$304=""),"",IF(OR(D320&gt;$D$305,E320&gt;$D$306),"Rev. Total. abona.",IF(D320="",IF(E320="","",E320/(0.92*1000)),IF(OR($D$298="SAN CRISTOBAL",$D$298="FLOREANA"),VLOOKUP(D320,'Estratos SCY - FLO'!$A$4:$M$108,IF($D$304="A1",2,IF($D$304="A",5,IF($D$304="B",8,11))))+E320/(0.92*1000),VLOOKUP(D320,'Estratos SCX - ISA'!$A$3:$M$107,IF($D$304="A1",2,IF($D$304="A",5,IF($D$304="B",8,11))))+E320/(0.92*1000))))),IF(OR($D$298="",$D$304=""),"",IF(OR(D320&gt;$D$305,E320&gt;$D$306),"Rev. Total. abona.",IF(D320="",IF(E320="","",E320/(0.92*1000)),IF(OR($D$298="SAN CRISTOBAL",$D$298="FLOREANA"),VLOOKUP(D320,'Estratos SCY - FLO'!$O$4:$S$108,IF($D$304="A1",2,IF($D$304="A",3,IF($D$304="B",4,5))))+E320/(0.92*1000),VLOOKUP(D320,'Estratos SCX - ISA'!$O$4:$S$108,IF($D$304="A1",2,IF($D$304="A",3,IF($D$304="B",4,5))))+E320/(0.92*1000)))))))</f>
        <v/>
      </c>
      <c r="G320" s="59" t="str">
        <f t="shared" si="44"/>
        <v/>
      </c>
      <c r="H320" s="183"/>
      <c r="I320" s="183"/>
      <c r="J320" s="59" t="str">
        <f>IF(OR(H320="",$D$10="",$N$10=""),"",IF($D$10="COBRE",VLOOKUP(CDV_PROY_BT!H320,FDV!$B$16:$E$24,IF(CDV_PROY_BT!$N$10="3F",3,4),FALSE),IF($D$10="ACS",VLOOKUP(CDV_PROY_BT!H320,FDV!$B$10:$E$15,IF(CDV_PROY_BT!$N$10="3F",3,4),FALSE),IF($D$10="5005 (PREENSAMBLADO)",VLOOKUP(CDV_PROY_BT!H320,FDV!$B$4:$E$9,IF(CDV_PROY_BT!$N$10="3F",3,4),FALSE),VLOOKUP(CDV_PROY_BT!H320,FDV!$B$25:$E$30,IF(CDV_PROY_BT!$N$10="3F",3,4),FALSE)))))</f>
        <v/>
      </c>
      <c r="K320" s="63" t="str">
        <f t="shared" si="43"/>
        <v/>
      </c>
      <c r="L320" s="62" t="str">
        <f t="shared" si="45"/>
        <v/>
      </c>
      <c r="M320" s="62" t="str">
        <f t="shared" si="46"/>
        <v/>
      </c>
      <c r="N320" s="155"/>
      <c r="U320" s="138">
        <f t="shared" si="47"/>
        <v>0</v>
      </c>
      <c r="V320" s="138">
        <f t="shared" si="48"/>
        <v>0</v>
      </c>
    </row>
    <row r="321" spans="1:22" ht="15" hidden="1">
      <c r="A321" s="167"/>
      <c r="B321" s="168"/>
      <c r="C321" s="169"/>
      <c r="D321" s="169"/>
      <c r="E321" s="170"/>
      <c r="F321" s="58" t="str">
        <f>IF($N$300="","",IF($N$300="INDUSTRIAL",IF(OR($D$298="",$D$304=""),"",IF(OR(D321&gt;$D$305,E321&gt;$D$306),"Rev. Total. abona.",IF(D321="",IF(E321="","",E321/(0.92*1000)),IF(OR($D$298="SAN CRISTOBAL",$D$298="FLOREANA"),VLOOKUP(D321,'Estratos SCY - FLO'!$A$4:$M$108,IF($D$304="A1",2,IF($D$304="A",5,IF($D$304="B",8,11))))+E321/(0.92*1000),VLOOKUP(D321,'Estratos SCX - ISA'!$A$3:$M$107,IF($D$304="A1",2,IF($D$304="A",5,IF($D$304="B",8,11))))+E321/(0.92*1000))))),IF(OR($D$298="",$D$304=""),"",IF(OR(D321&gt;$D$305,E321&gt;$D$306),"Rev. Total. abona.",IF(D321="",IF(E321="","",E321/(0.92*1000)),IF(OR($D$298="SAN CRISTOBAL",$D$298="FLOREANA"),VLOOKUP(D321,'Estratos SCY - FLO'!$O$4:$S$108,IF($D$304="A1",2,IF($D$304="A",3,IF($D$304="B",4,5))))+E321/(0.92*1000),VLOOKUP(D321,'Estratos SCX - ISA'!$O$4:$S$108,IF($D$304="A1",2,IF($D$304="A",3,IF($D$304="B",4,5))))+E321/(0.92*1000)))))))</f>
        <v/>
      </c>
      <c r="G321" s="59" t="str">
        <f t="shared" si="44"/>
        <v/>
      </c>
      <c r="H321" s="183"/>
      <c r="I321" s="183"/>
      <c r="J321" s="59" t="str">
        <f>IF(OR(H321="",$D$10="",$N$10=""),"",IF($D$10="COBRE",VLOOKUP(CDV_PROY_BT!H321,FDV!$B$16:$E$24,IF(CDV_PROY_BT!$N$10="3F",3,4),FALSE),IF($D$10="ACS",VLOOKUP(CDV_PROY_BT!H321,FDV!$B$10:$E$15,IF(CDV_PROY_BT!$N$10="3F",3,4),FALSE),IF($D$10="5005 (PREENSAMBLADO)",VLOOKUP(CDV_PROY_BT!H321,FDV!$B$4:$E$9,IF(CDV_PROY_BT!$N$10="3F",3,4),FALSE),VLOOKUP(CDV_PROY_BT!H321,FDV!$B$25:$E$30,IF(CDV_PROY_BT!$N$10="3F",3,4),FALSE)))))</f>
        <v/>
      </c>
      <c r="K321" s="63" t="str">
        <f t="shared" si="43"/>
        <v/>
      </c>
      <c r="L321" s="62" t="str">
        <f t="shared" si="45"/>
        <v/>
      </c>
      <c r="M321" s="62" t="str">
        <f t="shared" si="46"/>
        <v/>
      </c>
      <c r="N321" s="155"/>
      <c r="U321" s="138">
        <f t="shared" si="47"/>
        <v>0</v>
      </c>
      <c r="V321" s="138">
        <f t="shared" si="48"/>
        <v>0</v>
      </c>
    </row>
    <row r="322" spans="1:22" ht="15" hidden="1">
      <c r="A322" s="167"/>
      <c r="B322" s="168"/>
      <c r="C322" s="169"/>
      <c r="D322" s="169"/>
      <c r="E322" s="170"/>
      <c r="F322" s="58" t="str">
        <f>IF($N$300="","",IF($N$300="INDUSTRIAL",IF(OR($D$298="",$D$304=""),"",IF(OR(D322&gt;$D$305,E322&gt;$D$306),"Rev. Total. abona.",IF(D322="",IF(E322="","",E322/(0.92*1000)),IF(OR($D$298="SAN CRISTOBAL",$D$298="FLOREANA"),VLOOKUP(D322,'Estratos SCY - FLO'!$A$4:$M$108,IF($D$304="A1",2,IF($D$304="A",5,IF($D$304="B",8,11))))+E322/(0.92*1000),VLOOKUP(D322,'Estratos SCX - ISA'!$A$3:$M$107,IF($D$304="A1",2,IF($D$304="A",5,IF($D$304="B",8,11))))+E322/(0.92*1000))))),IF(OR($D$298="",$D$304=""),"",IF(OR(D322&gt;$D$305,E322&gt;$D$306),"Rev. Total. abona.",IF(D322="",IF(E322="","",E322/(0.92*1000)),IF(OR($D$298="SAN CRISTOBAL",$D$298="FLOREANA"),VLOOKUP(D322,'Estratos SCY - FLO'!$O$4:$S$108,IF($D$304="A1",2,IF($D$304="A",3,IF($D$304="B",4,5))))+E322/(0.92*1000),VLOOKUP(D322,'Estratos SCX - ISA'!$O$4:$S$108,IF($D$304="A1",2,IF($D$304="A",3,IF($D$304="B",4,5))))+E322/(0.92*1000)))))))</f>
        <v/>
      </c>
      <c r="G322" s="59" t="str">
        <f t="shared" si="44"/>
        <v/>
      </c>
      <c r="H322" s="183"/>
      <c r="I322" s="183"/>
      <c r="J322" s="59" t="str">
        <f>IF(OR(H322="",$D$10="",$N$10=""),"",IF($D$10="COBRE",VLOOKUP(CDV_PROY_BT!H322,FDV!$B$16:$E$24,IF(CDV_PROY_BT!$N$10="3F",3,4),FALSE),IF($D$10="ACS",VLOOKUP(CDV_PROY_BT!H322,FDV!$B$10:$E$15,IF(CDV_PROY_BT!$N$10="3F",3,4),FALSE),IF($D$10="5005 (PREENSAMBLADO)",VLOOKUP(CDV_PROY_BT!H322,FDV!$B$4:$E$9,IF(CDV_PROY_BT!$N$10="3F",3,4),FALSE),VLOOKUP(CDV_PROY_BT!H322,FDV!$B$25:$E$30,IF(CDV_PROY_BT!$N$10="3F",3,4),FALSE)))))</f>
        <v/>
      </c>
      <c r="K322" s="63" t="str">
        <f t="shared" si="43"/>
        <v/>
      </c>
      <c r="L322" s="62" t="str">
        <f t="shared" si="45"/>
        <v/>
      </c>
      <c r="M322" s="62" t="str">
        <f t="shared" si="46"/>
        <v/>
      </c>
      <c r="N322" s="155"/>
      <c r="U322" s="138">
        <f t="shared" si="47"/>
        <v>0</v>
      </c>
      <c r="V322" s="138">
        <f t="shared" si="48"/>
        <v>0</v>
      </c>
    </row>
    <row r="323" spans="1:22" ht="15" hidden="1">
      <c r="A323" s="171"/>
      <c r="B323" s="172"/>
      <c r="C323" s="173"/>
      <c r="D323" s="173"/>
      <c r="E323" s="170"/>
      <c r="F323" s="58" t="str">
        <f>IF($N$300="","",IF($N$300="INDUSTRIAL",IF(OR($D$298="",$D$304=""),"",IF(OR(D323&gt;$D$305,E323&gt;$D$306),"Rev. Total. abona.",IF(D323="",IF(E323="","",E323/(0.92*1000)),IF(OR($D$298="SAN CRISTOBAL",$D$298="FLOREANA"),VLOOKUP(D323,'Estratos SCY - FLO'!$A$4:$M$108,IF($D$304="A1",2,IF($D$304="A",5,IF($D$304="B",8,11))))+E323/(0.92*1000),VLOOKUP(D323,'Estratos SCX - ISA'!$A$3:$M$107,IF($D$304="A1",2,IF($D$304="A",5,IF($D$304="B",8,11))))+E323/(0.92*1000))))),IF(OR($D$298="",$D$304=""),"",IF(OR(D323&gt;$D$305,E323&gt;$D$306),"Rev. Total. abona.",IF(D323="",IF(E323="","",E323/(0.92*1000)),IF(OR($D$298="SAN CRISTOBAL",$D$298="FLOREANA"),VLOOKUP(D323,'Estratos SCY - FLO'!$O$4:$S$108,IF($D$304="A1",2,IF($D$304="A",3,IF($D$304="B",4,5))))+E323/(0.92*1000),VLOOKUP(D323,'Estratos SCX - ISA'!$O$4:$S$108,IF($D$304="A1",2,IF($D$304="A",3,IF($D$304="B",4,5))))+E323/(0.92*1000)))))))</f>
        <v/>
      </c>
      <c r="G323" s="59" t="str">
        <f t="shared" si="44"/>
        <v/>
      </c>
      <c r="H323" s="183"/>
      <c r="I323" s="183"/>
      <c r="J323" s="59" t="str">
        <f>IF(OR(H323="",$D$10="",$N$10=""),"",IF($D$10="COBRE",VLOOKUP(CDV_PROY_BT!H323,FDV!$B$16:$E$24,IF(CDV_PROY_BT!$N$10="3F",3,4),FALSE),IF($D$10="ACS",VLOOKUP(CDV_PROY_BT!H323,FDV!$B$10:$E$15,IF(CDV_PROY_BT!$N$10="3F",3,4),FALSE),IF($D$10="5005 (PREENSAMBLADO)",VLOOKUP(CDV_PROY_BT!H323,FDV!$B$4:$E$9,IF(CDV_PROY_BT!$N$10="3F",3,4),FALSE),VLOOKUP(CDV_PROY_BT!H323,FDV!$B$25:$E$30,IF(CDV_PROY_BT!$N$10="3F",3,4),FALSE)))))</f>
        <v/>
      </c>
      <c r="K323" s="63" t="str">
        <f t="shared" si="43"/>
        <v/>
      </c>
      <c r="L323" s="62" t="str">
        <f t="shared" si="45"/>
        <v/>
      </c>
      <c r="M323" s="62" t="str">
        <f t="shared" si="46"/>
        <v/>
      </c>
      <c r="N323" s="155"/>
      <c r="U323" s="138">
        <f t="shared" si="47"/>
        <v>0</v>
      </c>
      <c r="V323" s="138">
        <f t="shared" si="48"/>
        <v>0</v>
      </c>
    </row>
    <row r="324" spans="1:22" ht="15" hidden="1">
      <c r="A324" s="167"/>
      <c r="B324" s="168"/>
      <c r="C324" s="169"/>
      <c r="D324" s="169"/>
      <c r="E324" s="174"/>
      <c r="F324" s="58" t="str">
        <f>IF($N$300="","",IF($N$300="INDUSTRIAL",IF(OR($D$298="",$D$304=""),"",IF(OR(D324&gt;$D$305,E324&gt;$D$306),"Rev. Total. abona.",IF(D324="",IF(E324="","",E324/(0.92*1000)),IF(OR($D$298="SAN CRISTOBAL",$D$298="FLOREANA"),VLOOKUP(D324,'Estratos SCY - FLO'!$A$4:$M$108,IF($D$304="A1",2,IF($D$304="A",5,IF($D$304="B",8,11))))+E324/(0.92*1000),VLOOKUP(D324,'Estratos SCX - ISA'!$A$3:$M$107,IF($D$304="A1",2,IF($D$304="A",5,IF($D$304="B",8,11))))+E324/(0.92*1000))))),IF(OR($D$298="",$D$304=""),"",IF(OR(D324&gt;$D$305,E324&gt;$D$306),"Rev. Total. abona.",IF(D324="",IF(E324="","",E324/(0.92*1000)),IF(OR($D$298="SAN CRISTOBAL",$D$298="FLOREANA"),VLOOKUP(D324,'Estratos SCY - FLO'!$O$4:$S$108,IF($D$304="A1",2,IF($D$304="A",3,IF($D$304="B",4,5))))+E324/(0.92*1000),VLOOKUP(D324,'Estratos SCX - ISA'!$O$4:$S$108,IF($D$304="A1",2,IF($D$304="A",3,IF($D$304="B",4,5))))+E324/(0.92*1000)))))))</f>
        <v/>
      </c>
      <c r="G324" s="59" t="str">
        <f t="shared" si="44"/>
        <v/>
      </c>
      <c r="H324" s="183"/>
      <c r="I324" s="183"/>
      <c r="J324" s="59" t="str">
        <f>IF(OR(H324="",$D$10="",$N$10=""),"",IF($D$10="COBRE",VLOOKUP(CDV_PROY_BT!H324,FDV!$B$16:$E$24,IF(CDV_PROY_BT!$N$10="3F",3,4),FALSE),IF($D$10="ACS",VLOOKUP(CDV_PROY_BT!H324,FDV!$B$10:$E$15,IF(CDV_PROY_BT!$N$10="3F",3,4),FALSE),IF($D$10="5005 (PREENSAMBLADO)",VLOOKUP(CDV_PROY_BT!H324,FDV!$B$4:$E$9,IF(CDV_PROY_BT!$N$10="3F",3,4),FALSE),VLOOKUP(CDV_PROY_BT!H324,FDV!$B$25:$E$30,IF(CDV_PROY_BT!$N$10="3F",3,4),FALSE)))))</f>
        <v/>
      </c>
      <c r="K324" s="63" t="str">
        <f t="shared" si="43"/>
        <v/>
      </c>
      <c r="L324" s="62" t="str">
        <f t="shared" si="45"/>
        <v/>
      </c>
      <c r="M324" s="62" t="str">
        <f t="shared" si="46"/>
        <v/>
      </c>
      <c r="N324" s="155"/>
      <c r="U324" s="138">
        <f t="shared" si="47"/>
        <v>0</v>
      </c>
      <c r="V324" s="138">
        <f t="shared" si="48"/>
        <v>0</v>
      </c>
    </row>
    <row r="325" spans="1:22" ht="15" hidden="1">
      <c r="A325" s="175"/>
      <c r="B325" s="176"/>
      <c r="C325" s="177"/>
      <c r="D325" s="177"/>
      <c r="E325" s="170"/>
      <c r="F325" s="58" t="str">
        <f>IF($N$300="","",IF($N$300="INDUSTRIAL",IF(OR($D$298="",$D$304=""),"",IF(OR(D325&gt;$D$305,E325&gt;$D$306),"Rev. Total. abona.",IF(D325="",IF(E325="","",E325/(0.92*1000)),IF(OR($D$298="SAN CRISTOBAL",$D$298="FLOREANA"),VLOOKUP(D325,'Estratos SCY - FLO'!$A$4:$M$108,IF($D$304="A1",2,IF($D$304="A",5,IF($D$304="B",8,11))))+E325/(0.92*1000),VLOOKUP(D325,'Estratos SCX - ISA'!$A$3:$M$107,IF($D$304="A1",2,IF($D$304="A",5,IF($D$304="B",8,11))))+E325/(0.92*1000))))),IF(OR($D$298="",$D$304=""),"",IF(OR(D325&gt;$D$305,E325&gt;$D$306),"Rev. Total. abona.",IF(D325="",IF(E325="","",E325/(0.92*1000)),IF(OR($D$298="SAN CRISTOBAL",$D$298="FLOREANA"),VLOOKUP(D325,'Estratos SCY - FLO'!$O$4:$S$108,IF($D$304="A1",2,IF($D$304="A",3,IF($D$304="B",4,5))))+E325/(0.92*1000),VLOOKUP(D325,'Estratos SCX - ISA'!$O$4:$S$108,IF($D$304="A1",2,IF($D$304="A",3,IF($D$304="B",4,5))))+E325/(0.92*1000)))))))</f>
        <v/>
      </c>
      <c r="G325" s="59" t="str">
        <f t="shared" si="44"/>
        <v/>
      </c>
      <c r="H325" s="183"/>
      <c r="I325" s="183"/>
      <c r="J325" s="59" t="str">
        <f>IF(OR(H325="",$D$10="",$N$10=""),"",IF($D$10="COBRE",VLOOKUP(CDV_PROY_BT!H325,FDV!$B$16:$E$24,IF(CDV_PROY_BT!$N$10="3F",3,4),FALSE),IF($D$10="ACS",VLOOKUP(CDV_PROY_BT!H325,FDV!$B$10:$E$15,IF(CDV_PROY_BT!$N$10="3F",3,4),FALSE),IF($D$10="5005 (PREENSAMBLADO)",VLOOKUP(CDV_PROY_BT!H325,FDV!$B$4:$E$9,IF(CDV_PROY_BT!$N$10="3F",3,4),FALSE),VLOOKUP(CDV_PROY_BT!H325,FDV!$B$25:$E$30,IF(CDV_PROY_BT!$N$10="3F",3,4),FALSE)))))</f>
        <v/>
      </c>
      <c r="K325" s="63" t="str">
        <f t="shared" si="43"/>
        <v/>
      </c>
      <c r="L325" s="62" t="str">
        <f t="shared" si="45"/>
        <v/>
      </c>
      <c r="M325" s="62" t="str">
        <f t="shared" si="46"/>
        <v/>
      </c>
      <c r="N325" s="155"/>
      <c r="U325" s="138">
        <f t="shared" si="47"/>
        <v>0</v>
      </c>
      <c r="V325" s="138">
        <f t="shared" si="48"/>
        <v>0</v>
      </c>
    </row>
    <row r="326" spans="1:22" ht="15" hidden="1">
      <c r="A326" s="167"/>
      <c r="B326" s="168"/>
      <c r="C326" s="169"/>
      <c r="D326" s="169"/>
      <c r="E326" s="170"/>
      <c r="F326" s="58" t="str">
        <f>IF($N$300="","",IF($N$300="INDUSTRIAL",IF(OR($D$298="",$D$304=""),"",IF(OR(D326&gt;$D$305,E326&gt;$D$306),"Rev. Total. abona.",IF(D326="",IF(E326="","",E326/(0.92*1000)),IF(OR($D$298="SAN CRISTOBAL",$D$298="FLOREANA"),VLOOKUP(D326,'Estratos SCY - FLO'!$A$4:$M$108,IF($D$304="A1",2,IF($D$304="A",5,IF($D$304="B",8,11))))+E326/(0.92*1000),VLOOKUP(D326,'Estratos SCX - ISA'!$A$3:$M$107,IF($D$304="A1",2,IF($D$304="A",5,IF($D$304="B",8,11))))+E326/(0.92*1000))))),IF(OR($D$298="",$D$304=""),"",IF(OR(D326&gt;$D$305,E326&gt;$D$306),"Rev. Total. abona.",IF(D326="",IF(E326="","",E326/(0.92*1000)),IF(OR($D$298="SAN CRISTOBAL",$D$298="FLOREANA"),VLOOKUP(D326,'Estratos SCY - FLO'!$O$4:$S$108,IF($D$304="A1",2,IF($D$304="A",3,IF($D$304="B",4,5))))+E326/(0.92*1000),VLOOKUP(D326,'Estratos SCX - ISA'!$O$4:$S$108,IF($D$304="A1",2,IF($D$304="A",3,IF($D$304="B",4,5))))+E326/(0.92*1000)))))))</f>
        <v/>
      </c>
      <c r="G326" s="59" t="str">
        <f t="shared" si="44"/>
        <v/>
      </c>
      <c r="H326" s="183"/>
      <c r="I326" s="183"/>
      <c r="J326" s="59" t="str">
        <f>IF(OR(H326="",$D$10="",$N$10=""),"",IF($D$10="COBRE",VLOOKUP(CDV_PROY_BT!H326,FDV!$B$16:$E$24,IF(CDV_PROY_BT!$N$10="3F",3,4),FALSE),IF($D$10="ACS",VLOOKUP(CDV_PROY_BT!H326,FDV!$B$10:$E$15,IF(CDV_PROY_BT!$N$10="3F",3,4),FALSE),IF($D$10="5005 (PREENSAMBLADO)",VLOOKUP(CDV_PROY_BT!H326,FDV!$B$4:$E$9,IF(CDV_PROY_BT!$N$10="3F",3,4),FALSE),VLOOKUP(CDV_PROY_BT!H326,FDV!$B$25:$E$30,IF(CDV_PROY_BT!$N$10="3F",3,4),FALSE)))))</f>
        <v/>
      </c>
      <c r="K326" s="63" t="str">
        <f t="shared" si="43"/>
        <v/>
      </c>
      <c r="L326" s="62" t="str">
        <f t="shared" si="45"/>
        <v/>
      </c>
      <c r="M326" s="62" t="str">
        <f t="shared" si="46"/>
        <v/>
      </c>
      <c r="N326" s="155"/>
      <c r="U326" s="138">
        <f t="shared" si="47"/>
        <v>0</v>
      </c>
      <c r="V326" s="138">
        <f t="shared" si="48"/>
        <v>0</v>
      </c>
    </row>
    <row r="327" spans="1:22" ht="15" hidden="1">
      <c r="A327" s="167"/>
      <c r="B327" s="168"/>
      <c r="C327" s="169"/>
      <c r="D327" s="169"/>
      <c r="E327" s="170"/>
      <c r="F327" s="58" t="str">
        <f>IF($N$300="","",IF($N$300="INDUSTRIAL",IF(OR($D$298="",$D$304=""),"",IF(OR(D327&gt;$D$305,E327&gt;$D$306),"Rev. Total. abona.",IF(D327="",IF(E327="","",E327/(0.92*1000)),IF(OR($D$298="SAN CRISTOBAL",$D$298="FLOREANA"),VLOOKUP(D327,'Estratos SCY - FLO'!$A$4:$M$108,IF($D$304="A1",2,IF($D$304="A",5,IF($D$304="B",8,11))))+E327/(0.92*1000),VLOOKUP(D327,'Estratos SCX - ISA'!$A$3:$M$107,IF($D$304="A1",2,IF($D$304="A",5,IF($D$304="B",8,11))))+E327/(0.92*1000))))),IF(OR($D$298="",$D$304=""),"",IF(OR(D327&gt;$D$305,E327&gt;$D$306),"Rev. Total. abona.",IF(D327="",IF(E327="","",E327/(0.92*1000)),IF(OR($D$298="SAN CRISTOBAL",$D$298="FLOREANA"),VLOOKUP(D327,'Estratos SCY - FLO'!$O$4:$S$108,IF($D$304="A1",2,IF($D$304="A",3,IF($D$304="B",4,5))))+E327/(0.92*1000),VLOOKUP(D327,'Estratos SCX - ISA'!$O$4:$S$108,IF($D$304="A1",2,IF($D$304="A",3,IF($D$304="B",4,5))))+E327/(0.92*1000)))))))</f>
        <v/>
      </c>
      <c r="G327" s="59" t="str">
        <f t="shared" si="44"/>
        <v/>
      </c>
      <c r="H327" s="183"/>
      <c r="I327" s="183"/>
      <c r="J327" s="59" t="str">
        <f>IF(OR(H327="",$D$10="",$N$10=""),"",IF($D$10="COBRE",VLOOKUP(CDV_PROY_BT!H327,FDV!$B$16:$E$24,IF(CDV_PROY_BT!$N$10="3F",3,4),FALSE),IF($D$10="ACS",VLOOKUP(CDV_PROY_BT!H327,FDV!$B$10:$E$15,IF(CDV_PROY_BT!$N$10="3F",3,4),FALSE),IF($D$10="5005 (PREENSAMBLADO)",VLOOKUP(CDV_PROY_BT!H327,FDV!$B$4:$E$9,IF(CDV_PROY_BT!$N$10="3F",3,4),FALSE),VLOOKUP(CDV_PROY_BT!H327,FDV!$B$25:$E$30,IF(CDV_PROY_BT!$N$10="3F",3,4),FALSE)))))</f>
        <v/>
      </c>
      <c r="K327" s="63" t="str">
        <f t="shared" si="43"/>
        <v/>
      </c>
      <c r="L327" s="62" t="str">
        <f t="shared" si="45"/>
        <v/>
      </c>
      <c r="M327" s="62" t="str">
        <f t="shared" si="46"/>
        <v/>
      </c>
      <c r="N327" s="155"/>
      <c r="U327" s="138">
        <f t="shared" si="47"/>
        <v>0</v>
      </c>
      <c r="V327" s="138">
        <f t="shared" si="48"/>
        <v>0</v>
      </c>
    </row>
    <row r="328" spans="1:22" ht="15" hidden="1">
      <c r="A328" s="167"/>
      <c r="B328" s="168"/>
      <c r="C328" s="169"/>
      <c r="D328" s="169"/>
      <c r="E328" s="170"/>
      <c r="F328" s="58" t="str">
        <f>IF($N$300="","",IF($N$300="INDUSTRIAL",IF(OR($D$298="",$D$304=""),"",IF(OR(D328&gt;$D$305,E328&gt;$D$306),"Rev. Total. abona.",IF(D328="",IF(E328="","",E328/(0.92*1000)),IF(OR($D$298="SAN CRISTOBAL",$D$298="FLOREANA"),VLOOKUP(D328,'Estratos SCY - FLO'!$A$4:$M$108,IF($D$304="A1",2,IF($D$304="A",5,IF($D$304="B",8,11))))+E328/(0.92*1000),VLOOKUP(D328,'Estratos SCX - ISA'!$A$3:$M$107,IF($D$304="A1",2,IF($D$304="A",5,IF($D$304="B",8,11))))+E328/(0.92*1000))))),IF(OR($D$298="",$D$304=""),"",IF(OR(D328&gt;$D$305,E328&gt;$D$306),"Rev. Total. abona.",IF(D328="",IF(E328="","",E328/(0.92*1000)),IF(OR($D$298="SAN CRISTOBAL",$D$298="FLOREANA"),VLOOKUP(D328,'Estratos SCY - FLO'!$O$4:$S$108,IF($D$304="A1",2,IF($D$304="A",3,IF($D$304="B",4,5))))+E328/(0.92*1000),VLOOKUP(D328,'Estratos SCX - ISA'!$O$4:$S$108,IF($D$304="A1",2,IF($D$304="A",3,IF($D$304="B",4,5))))+E328/(0.92*1000)))))))</f>
        <v/>
      </c>
      <c r="G328" s="59" t="str">
        <f t="shared" si="44"/>
        <v/>
      </c>
      <c r="H328" s="183"/>
      <c r="I328" s="183"/>
      <c r="J328" s="59" t="str">
        <f>IF(OR(H328="",$D$10="",$N$10=""),"",IF($D$10="COBRE",VLOOKUP(CDV_PROY_BT!H328,FDV!$B$16:$E$24,IF(CDV_PROY_BT!$N$10="3F",3,4),FALSE),IF($D$10="ACS",VLOOKUP(CDV_PROY_BT!H328,FDV!$B$10:$E$15,IF(CDV_PROY_BT!$N$10="3F",3,4),FALSE),IF($D$10="5005 (PREENSAMBLADO)",VLOOKUP(CDV_PROY_BT!H328,FDV!$B$4:$E$9,IF(CDV_PROY_BT!$N$10="3F",3,4),FALSE),VLOOKUP(CDV_PROY_BT!H328,FDV!$B$25:$E$30,IF(CDV_PROY_BT!$N$10="3F",3,4),FALSE)))))</f>
        <v/>
      </c>
      <c r="K328" s="63" t="str">
        <f t="shared" si="43"/>
        <v/>
      </c>
      <c r="L328" s="62" t="str">
        <f t="shared" si="45"/>
        <v/>
      </c>
      <c r="M328" s="62" t="str">
        <f t="shared" si="46"/>
        <v/>
      </c>
      <c r="N328" s="155"/>
      <c r="U328" s="138">
        <f t="shared" si="47"/>
        <v>0</v>
      </c>
      <c r="V328" s="138">
        <f t="shared" si="48"/>
        <v>0</v>
      </c>
    </row>
    <row r="329" spans="1:22" ht="15" hidden="1">
      <c r="A329" s="167"/>
      <c r="B329" s="168"/>
      <c r="C329" s="169"/>
      <c r="D329" s="169"/>
      <c r="E329" s="170"/>
      <c r="F329" s="58" t="str">
        <f>IF($N$300="","",IF($N$300="INDUSTRIAL",IF(OR($D$298="",$D$304=""),"",IF(OR(D329&gt;$D$305,E329&gt;$D$306),"Rev. Total. abona.",IF(D329="",IF(E329="","",E329/(0.92*1000)),IF(OR($D$298="SAN CRISTOBAL",$D$298="FLOREANA"),VLOOKUP(D329,'Estratos SCY - FLO'!$A$4:$M$108,IF($D$304="A1",2,IF($D$304="A",5,IF($D$304="B",8,11))))+E329/(0.92*1000),VLOOKUP(D329,'Estratos SCX - ISA'!$A$3:$M$107,IF($D$304="A1",2,IF($D$304="A",5,IF($D$304="B",8,11))))+E329/(0.92*1000))))),IF(OR($D$298="",$D$304=""),"",IF(OR(D329&gt;$D$305,E329&gt;$D$306),"Rev. Total. abona.",IF(D329="",IF(E329="","",E329/(0.92*1000)),IF(OR($D$298="SAN CRISTOBAL",$D$298="FLOREANA"),VLOOKUP(D329,'Estratos SCY - FLO'!$O$4:$S$108,IF($D$304="A1",2,IF($D$304="A",3,IF($D$304="B",4,5))))+E329/(0.92*1000),VLOOKUP(D329,'Estratos SCX - ISA'!$O$4:$S$108,IF($D$304="A1",2,IF($D$304="A",3,IF($D$304="B",4,5))))+E329/(0.92*1000)))))))</f>
        <v/>
      </c>
      <c r="G329" s="59" t="str">
        <f t="shared" si="44"/>
        <v/>
      </c>
      <c r="H329" s="183"/>
      <c r="I329" s="183"/>
      <c r="J329" s="59" t="str">
        <f>IF(OR(H329="",$D$10="",$N$10=""),"",IF($D$10="COBRE",VLOOKUP(CDV_PROY_BT!H329,FDV!$B$16:$E$24,IF(CDV_PROY_BT!$N$10="3F",3,4),FALSE),IF($D$10="ACS",VLOOKUP(CDV_PROY_BT!H329,FDV!$B$10:$E$15,IF(CDV_PROY_BT!$N$10="3F",3,4),FALSE),IF($D$10="5005 (PREENSAMBLADO)",VLOOKUP(CDV_PROY_BT!H329,FDV!$B$4:$E$9,IF(CDV_PROY_BT!$N$10="3F",3,4),FALSE),VLOOKUP(CDV_PROY_BT!H329,FDV!$B$25:$E$30,IF(CDV_PROY_BT!$N$10="3F",3,4),FALSE)))))</f>
        <v/>
      </c>
      <c r="K329" s="63" t="str">
        <f t="shared" si="43"/>
        <v/>
      </c>
      <c r="L329" s="62" t="str">
        <f t="shared" si="45"/>
        <v/>
      </c>
      <c r="M329" s="62" t="str">
        <f t="shared" si="46"/>
        <v/>
      </c>
      <c r="N329" s="155"/>
      <c r="U329" s="138">
        <f t="shared" si="47"/>
        <v>0</v>
      </c>
      <c r="V329" s="138">
        <f t="shared" si="48"/>
        <v>0</v>
      </c>
    </row>
    <row r="330" spans="1:22" ht="15" hidden="1">
      <c r="A330" s="167"/>
      <c r="B330" s="168"/>
      <c r="C330" s="169"/>
      <c r="D330" s="169"/>
      <c r="E330" s="170"/>
      <c r="F330" s="58" t="str">
        <f>IF($N$300="","",IF($N$300="INDUSTRIAL",IF(OR($D$298="",$D$304=""),"",IF(OR(D330&gt;$D$305,E330&gt;$D$306),"Rev. Total. abona.",IF(D330="",IF(E330="","",E330/(0.92*1000)),IF(OR($D$298="SAN CRISTOBAL",$D$298="FLOREANA"),VLOOKUP(D330,'Estratos SCY - FLO'!$A$4:$M$108,IF($D$304="A1",2,IF($D$304="A",5,IF($D$304="B",8,11))))+E330/(0.92*1000),VLOOKUP(D330,'Estratos SCX - ISA'!$A$3:$M$107,IF($D$304="A1",2,IF($D$304="A",5,IF($D$304="B",8,11))))+E330/(0.92*1000))))),IF(OR($D$298="",$D$304=""),"",IF(OR(D330&gt;$D$305,E330&gt;$D$306),"Rev. Total. abona.",IF(D330="",IF(E330="","",E330/(0.92*1000)),IF(OR($D$298="SAN CRISTOBAL",$D$298="FLOREANA"),VLOOKUP(D330,'Estratos SCY - FLO'!$O$4:$S$108,IF($D$304="A1",2,IF($D$304="A",3,IF($D$304="B",4,5))))+E330/(0.92*1000),VLOOKUP(D330,'Estratos SCX - ISA'!$O$4:$S$108,IF($D$304="A1",2,IF($D$304="A",3,IF($D$304="B",4,5))))+E330/(0.92*1000)))))))</f>
        <v/>
      </c>
      <c r="G330" s="59" t="str">
        <f t="shared" si="44"/>
        <v/>
      </c>
      <c r="H330" s="183"/>
      <c r="I330" s="183"/>
      <c r="J330" s="59" t="str">
        <f>IF(OR(H330="",$D$10="",$N$10=""),"",IF($D$10="COBRE",VLOOKUP(CDV_PROY_BT!H330,FDV!$B$16:$E$24,IF(CDV_PROY_BT!$N$10="3F",3,4),FALSE),IF($D$10="ACS",VLOOKUP(CDV_PROY_BT!H330,FDV!$B$10:$E$15,IF(CDV_PROY_BT!$N$10="3F",3,4),FALSE),IF($D$10="5005 (PREENSAMBLADO)",VLOOKUP(CDV_PROY_BT!H330,FDV!$B$4:$E$9,IF(CDV_PROY_BT!$N$10="3F",3,4),FALSE),VLOOKUP(CDV_PROY_BT!H330,FDV!$B$25:$E$30,IF(CDV_PROY_BT!$N$10="3F",3,4),FALSE)))))</f>
        <v/>
      </c>
      <c r="K330" s="63" t="str">
        <f t="shared" si="43"/>
        <v/>
      </c>
      <c r="L330" s="62" t="str">
        <f t="shared" si="45"/>
        <v/>
      </c>
      <c r="M330" s="62" t="str">
        <f t="shared" si="46"/>
        <v/>
      </c>
      <c r="N330" s="155"/>
      <c r="U330" s="138">
        <f t="shared" si="47"/>
        <v>0</v>
      </c>
      <c r="V330" s="138">
        <f t="shared" si="48"/>
        <v>0</v>
      </c>
    </row>
    <row r="331" spans="1:22" ht="15" hidden="1">
      <c r="A331" s="167"/>
      <c r="B331" s="168"/>
      <c r="C331" s="169"/>
      <c r="D331" s="169"/>
      <c r="E331" s="170"/>
      <c r="F331" s="58" t="str">
        <f>IF($N$300="","",IF($N$300="INDUSTRIAL",IF(OR($D$298="",$D$304=""),"",IF(OR(D331&gt;$D$305,E331&gt;$D$306),"Rev. Total. abona.",IF(D331="",IF(E331="","",E331/(0.92*1000)),IF(OR($D$298="SAN CRISTOBAL",$D$298="FLOREANA"),VLOOKUP(D331,'Estratos SCY - FLO'!$A$4:$M$108,IF($D$304="A1",2,IF($D$304="A",5,IF($D$304="B",8,11))))+E331/(0.92*1000),VLOOKUP(D331,'Estratos SCX - ISA'!$A$3:$M$107,IF($D$304="A1",2,IF($D$304="A",5,IF($D$304="B",8,11))))+E331/(0.92*1000))))),IF(OR($D$298="",$D$304=""),"",IF(OR(D331&gt;$D$305,E331&gt;$D$306),"Rev. Total. abona.",IF(D331="",IF(E331="","",E331/(0.92*1000)),IF(OR($D$298="SAN CRISTOBAL",$D$298="FLOREANA"),VLOOKUP(D331,'Estratos SCY - FLO'!$O$4:$S$108,IF($D$304="A1",2,IF($D$304="A",3,IF($D$304="B",4,5))))+E331/(0.92*1000),VLOOKUP(D331,'Estratos SCX - ISA'!$O$4:$S$108,IF($D$304="A1",2,IF($D$304="A",3,IF($D$304="B",4,5))))+E331/(0.92*1000)))))))</f>
        <v/>
      </c>
      <c r="G331" s="59" t="str">
        <f t="shared" si="44"/>
        <v/>
      </c>
      <c r="H331" s="183"/>
      <c r="I331" s="183"/>
      <c r="J331" s="59" t="str">
        <f>IF(OR(H331="",$D$10="",$N$10=""),"",IF($D$10="COBRE",VLOOKUP(CDV_PROY_BT!H331,FDV!$B$16:$E$24,IF(CDV_PROY_BT!$N$10="3F",3,4),FALSE),IF($D$10="ACS",VLOOKUP(CDV_PROY_BT!H331,FDV!$B$10:$E$15,IF(CDV_PROY_BT!$N$10="3F",3,4),FALSE),IF($D$10="5005 (PREENSAMBLADO)",VLOOKUP(CDV_PROY_BT!H331,FDV!$B$4:$E$9,IF(CDV_PROY_BT!$N$10="3F",3,4),FALSE),VLOOKUP(CDV_PROY_BT!H331,FDV!$B$25:$E$30,IF(CDV_PROY_BT!$N$10="3F",3,4),FALSE)))))</f>
        <v/>
      </c>
      <c r="K331" s="63" t="str">
        <f t="shared" si="43"/>
        <v/>
      </c>
      <c r="L331" s="62" t="str">
        <f t="shared" si="45"/>
        <v/>
      </c>
      <c r="M331" s="62" t="str">
        <f t="shared" si="46"/>
        <v/>
      </c>
      <c r="N331" s="155"/>
      <c r="U331" s="138">
        <f t="shared" si="47"/>
        <v>0</v>
      </c>
      <c r="V331" s="138">
        <f t="shared" si="48"/>
        <v>0</v>
      </c>
    </row>
    <row r="332" spans="1:22" ht="15" hidden="1">
      <c r="A332" s="167"/>
      <c r="B332" s="168"/>
      <c r="C332" s="169"/>
      <c r="D332" s="169"/>
      <c r="E332" s="170"/>
      <c r="F332" s="58" t="str">
        <f>IF($N$300="","",IF($N$300="INDUSTRIAL",IF(OR($D$298="",$D$304=""),"",IF(OR(D332&gt;$D$305,E332&gt;$D$306),"Rev. Total. abona.",IF(D332="",IF(E332="","",E332/(0.92*1000)),IF(OR($D$298="SAN CRISTOBAL",$D$298="FLOREANA"),VLOOKUP(D332,'Estratos SCY - FLO'!$A$4:$M$108,IF($D$304="A1",2,IF($D$304="A",5,IF($D$304="B",8,11))))+E332/(0.92*1000),VLOOKUP(D332,'Estratos SCX - ISA'!$A$3:$M$107,IF($D$304="A1",2,IF($D$304="A",5,IF($D$304="B",8,11))))+E332/(0.92*1000))))),IF(OR($D$298="",$D$304=""),"",IF(OR(D332&gt;$D$305,E332&gt;$D$306),"Rev. Total. abona.",IF(D332="",IF(E332="","",E332/(0.92*1000)),IF(OR($D$298="SAN CRISTOBAL",$D$298="FLOREANA"),VLOOKUP(D332,'Estratos SCY - FLO'!$O$4:$S$108,IF($D$304="A1",2,IF($D$304="A",3,IF($D$304="B",4,5))))+E332/(0.92*1000),VLOOKUP(D332,'Estratos SCX - ISA'!$O$4:$S$108,IF($D$304="A1",2,IF($D$304="A",3,IF($D$304="B",4,5))))+E332/(0.92*1000)))))))</f>
        <v/>
      </c>
      <c r="G332" s="59" t="str">
        <f t="shared" si="44"/>
        <v/>
      </c>
      <c r="H332" s="183"/>
      <c r="I332" s="183"/>
      <c r="J332" s="59" t="str">
        <f>IF(OR(H332="",$D$10="",$N$10=""),"",IF($D$10="COBRE",VLOOKUP(CDV_PROY_BT!H332,FDV!$B$16:$E$24,IF(CDV_PROY_BT!$N$10="3F",3,4),FALSE),IF($D$10="ACS",VLOOKUP(CDV_PROY_BT!H332,FDV!$B$10:$E$15,IF(CDV_PROY_BT!$N$10="3F",3,4),FALSE),IF($D$10="5005 (PREENSAMBLADO)",VLOOKUP(CDV_PROY_BT!H332,FDV!$B$4:$E$9,IF(CDV_PROY_BT!$N$10="3F",3,4),FALSE),VLOOKUP(CDV_PROY_BT!H332,FDV!$B$25:$E$30,IF(CDV_PROY_BT!$N$10="3F",3,4),FALSE)))))</f>
        <v/>
      </c>
      <c r="K332" s="63" t="str">
        <f t="shared" si="43"/>
        <v/>
      </c>
      <c r="L332" s="62" t="str">
        <f t="shared" si="45"/>
        <v/>
      </c>
      <c r="M332" s="62" t="str">
        <f t="shared" si="46"/>
        <v/>
      </c>
      <c r="N332" s="155"/>
      <c r="U332" s="138">
        <f t="shared" si="47"/>
        <v>0</v>
      </c>
      <c r="V332" s="138">
        <f t="shared" si="48"/>
        <v>0</v>
      </c>
    </row>
    <row r="333" spans="1:22" ht="15" hidden="1">
      <c r="A333" s="167"/>
      <c r="B333" s="168"/>
      <c r="C333" s="169"/>
      <c r="D333" s="169"/>
      <c r="E333" s="170"/>
      <c r="F333" s="58" t="str">
        <f>IF($N$300="","",IF($N$300="INDUSTRIAL",IF(OR($D$298="",$D$304=""),"",IF(OR(D333&gt;$D$305,E333&gt;$D$306),"Rev. Total. abona.",IF(D333="",IF(E333="","",E333/(0.92*1000)),IF(OR($D$298="SAN CRISTOBAL",$D$298="FLOREANA"),VLOOKUP(D333,'Estratos SCY - FLO'!$A$4:$M$108,IF($D$304="A1",2,IF($D$304="A",5,IF($D$304="B",8,11))))+E333/(0.92*1000),VLOOKUP(D333,'Estratos SCX - ISA'!$A$3:$M$107,IF($D$304="A1",2,IF($D$304="A",5,IF($D$304="B",8,11))))+E333/(0.92*1000))))),IF(OR($D$298="",$D$304=""),"",IF(OR(D333&gt;$D$305,E333&gt;$D$306),"Rev. Total. abona.",IF(D333="",IF(E333="","",E333/(0.92*1000)),IF(OR($D$298="SAN CRISTOBAL",$D$298="FLOREANA"),VLOOKUP(D333,'Estratos SCY - FLO'!$O$4:$S$108,IF($D$304="A1",2,IF($D$304="A",3,IF($D$304="B",4,5))))+E333/(0.92*1000),VLOOKUP(D333,'Estratos SCX - ISA'!$O$4:$S$108,IF($D$304="A1",2,IF($D$304="A",3,IF($D$304="B",4,5))))+E333/(0.92*1000)))))))</f>
        <v/>
      </c>
      <c r="G333" s="59" t="str">
        <f t="shared" si="44"/>
        <v/>
      </c>
      <c r="H333" s="183"/>
      <c r="I333" s="183"/>
      <c r="J333" s="59" t="str">
        <f>IF(OR(H333="",$D$10="",$N$10=""),"",IF($D$10="COBRE",VLOOKUP(CDV_PROY_BT!H333,FDV!$B$16:$E$24,IF(CDV_PROY_BT!$N$10="3F",3,4),FALSE),IF($D$10="ACS",VLOOKUP(CDV_PROY_BT!H333,FDV!$B$10:$E$15,IF(CDV_PROY_BT!$N$10="3F",3,4),FALSE),IF($D$10="5005 (PREENSAMBLADO)",VLOOKUP(CDV_PROY_BT!H333,FDV!$B$4:$E$9,IF(CDV_PROY_BT!$N$10="3F",3,4),FALSE),VLOOKUP(CDV_PROY_BT!H333,FDV!$B$25:$E$30,IF(CDV_PROY_BT!$N$10="3F",3,4),FALSE)))))</f>
        <v/>
      </c>
      <c r="K333" s="63" t="str">
        <f t="shared" si="43"/>
        <v/>
      </c>
      <c r="L333" s="62" t="str">
        <f t="shared" si="45"/>
        <v/>
      </c>
      <c r="M333" s="62" t="str">
        <f t="shared" si="46"/>
        <v/>
      </c>
      <c r="N333" s="155"/>
      <c r="U333" s="138">
        <f t="shared" si="47"/>
        <v>0</v>
      </c>
      <c r="V333" s="138">
        <f t="shared" si="48"/>
        <v>0</v>
      </c>
    </row>
    <row r="334" spans="1:22" ht="15" hidden="1">
      <c r="A334" s="167"/>
      <c r="B334" s="168"/>
      <c r="C334" s="169"/>
      <c r="D334" s="169"/>
      <c r="E334" s="170"/>
      <c r="F334" s="58" t="str">
        <f>IF($N$300="","",IF($N$300="INDUSTRIAL",IF(OR($D$298="",$D$304=""),"",IF(OR(D334&gt;$D$305,E334&gt;$D$306),"Rev. Total. abona.",IF(D334="",IF(E334="","",E334/(0.92*1000)),IF(OR($D$298="SAN CRISTOBAL",$D$298="FLOREANA"),VLOOKUP(D334,'Estratos SCY - FLO'!$A$4:$M$108,IF($D$304="A1",2,IF($D$304="A",5,IF($D$304="B",8,11))))+E334/(0.92*1000),VLOOKUP(D334,'Estratos SCX - ISA'!$A$3:$M$107,IF($D$304="A1",2,IF($D$304="A",5,IF($D$304="B",8,11))))+E334/(0.92*1000))))),IF(OR($D$298="",$D$304=""),"",IF(OR(D334&gt;$D$305,E334&gt;$D$306),"Rev. Total. abona.",IF(D334="",IF(E334="","",E334/(0.92*1000)),IF(OR($D$298="SAN CRISTOBAL",$D$298="FLOREANA"),VLOOKUP(D334,'Estratos SCY - FLO'!$O$4:$S$108,IF($D$304="A1",2,IF($D$304="A",3,IF($D$304="B",4,5))))+E334/(0.92*1000),VLOOKUP(D334,'Estratos SCX - ISA'!$O$4:$S$108,IF($D$304="A1",2,IF($D$304="A",3,IF($D$304="B",4,5))))+E334/(0.92*1000)))))))</f>
        <v/>
      </c>
      <c r="G334" s="59" t="str">
        <f t="shared" si="44"/>
        <v/>
      </c>
      <c r="H334" s="183"/>
      <c r="I334" s="183"/>
      <c r="J334" s="59" t="str">
        <f>IF(OR(H334="",$D$10="",$N$10=""),"",IF($D$10="COBRE",VLOOKUP(CDV_PROY_BT!H334,FDV!$B$16:$E$24,IF(CDV_PROY_BT!$N$10="3F",3,4),FALSE),IF($D$10="ACS",VLOOKUP(CDV_PROY_BT!H334,FDV!$B$10:$E$15,IF(CDV_PROY_BT!$N$10="3F",3,4),FALSE),IF($D$10="5005 (PREENSAMBLADO)",VLOOKUP(CDV_PROY_BT!H334,FDV!$B$4:$E$9,IF(CDV_PROY_BT!$N$10="3F",3,4),FALSE),VLOOKUP(CDV_PROY_BT!H334,FDV!$B$25:$E$30,IF(CDV_PROY_BT!$N$10="3F",3,4),FALSE)))))</f>
        <v/>
      </c>
      <c r="K334" s="63" t="str">
        <f t="shared" si="43"/>
        <v/>
      </c>
      <c r="L334" s="62" t="str">
        <f t="shared" si="45"/>
        <v/>
      </c>
      <c r="M334" s="62" t="str">
        <f t="shared" si="46"/>
        <v/>
      </c>
      <c r="N334" s="155"/>
      <c r="U334" s="138">
        <f t="shared" si="47"/>
        <v>0</v>
      </c>
      <c r="V334" s="138">
        <f t="shared" si="48"/>
        <v>0</v>
      </c>
    </row>
    <row r="335" spans="1:22" ht="15" hidden="1">
      <c r="A335" s="167"/>
      <c r="B335" s="168"/>
      <c r="C335" s="169"/>
      <c r="D335" s="169"/>
      <c r="E335" s="170"/>
      <c r="F335" s="58" t="str">
        <f>IF($N$300="","",IF($N$300="INDUSTRIAL",IF(OR($D$298="",$D$304=""),"",IF(OR(D335&gt;$D$305,E335&gt;$D$306),"Rev. Total. abona.",IF(D335="",IF(E335="","",E335/(0.92*1000)),IF(OR($D$298="SAN CRISTOBAL",$D$298="FLOREANA"),VLOOKUP(D335,'Estratos SCY - FLO'!$A$4:$M$108,IF($D$304="A1",2,IF($D$304="A",5,IF($D$304="B",8,11))))+E335/(0.92*1000),VLOOKUP(D335,'Estratos SCX - ISA'!$A$3:$M$107,IF($D$304="A1",2,IF($D$304="A",5,IF($D$304="B",8,11))))+E335/(0.92*1000))))),IF(OR($D$298="",$D$304=""),"",IF(OR(D335&gt;$D$305,E335&gt;$D$306),"Rev. Total. abona.",IF(D335="",IF(E335="","",E335/(0.92*1000)),IF(OR($D$298="SAN CRISTOBAL",$D$298="FLOREANA"),VLOOKUP(D335,'Estratos SCY - FLO'!$O$4:$S$108,IF($D$304="A1",2,IF($D$304="A",3,IF($D$304="B",4,5))))+E335/(0.92*1000),VLOOKUP(D335,'Estratos SCX - ISA'!$O$4:$S$108,IF($D$304="A1",2,IF($D$304="A",3,IF($D$304="B",4,5))))+E335/(0.92*1000)))))))</f>
        <v/>
      </c>
      <c r="G335" s="59" t="str">
        <f t="shared" si="44"/>
        <v/>
      </c>
      <c r="H335" s="183"/>
      <c r="I335" s="183"/>
      <c r="J335" s="59" t="str">
        <f>IF(OR(H335="",$D$10="",$N$10=""),"",IF($D$10="COBRE",VLOOKUP(CDV_PROY_BT!H335,FDV!$B$16:$E$24,IF(CDV_PROY_BT!$N$10="3F",3,4),FALSE),IF($D$10="ACS",VLOOKUP(CDV_PROY_BT!H335,FDV!$B$10:$E$15,IF(CDV_PROY_BT!$N$10="3F",3,4),FALSE),IF($D$10="5005 (PREENSAMBLADO)",VLOOKUP(CDV_PROY_BT!H335,FDV!$B$4:$E$9,IF(CDV_PROY_BT!$N$10="3F",3,4),FALSE),VLOOKUP(CDV_PROY_BT!H335,FDV!$B$25:$E$30,IF(CDV_PROY_BT!$N$10="3F",3,4),FALSE)))))</f>
        <v/>
      </c>
      <c r="K335" s="63" t="str">
        <f t="shared" si="43"/>
        <v/>
      </c>
      <c r="L335" s="62" t="str">
        <f t="shared" si="45"/>
        <v/>
      </c>
      <c r="M335" s="62" t="str">
        <f t="shared" si="46"/>
        <v/>
      </c>
      <c r="N335" s="155"/>
      <c r="U335" s="138">
        <f t="shared" si="47"/>
        <v>0</v>
      </c>
      <c r="V335" s="138">
        <f t="shared" si="48"/>
        <v>0</v>
      </c>
    </row>
    <row r="336" spans="1:22" ht="15" hidden="1">
      <c r="A336" s="167"/>
      <c r="B336" s="168"/>
      <c r="C336" s="169"/>
      <c r="D336" s="169"/>
      <c r="E336" s="170"/>
      <c r="F336" s="58" t="str">
        <f>IF($N$300="","",IF($N$300="INDUSTRIAL",IF(OR($D$298="",$D$304=""),"",IF(OR(D336&gt;$D$305,E336&gt;$D$306),"Rev. Total. abona.",IF(D336="",IF(E336="","",E336/(0.92*1000)),IF(OR($D$298="SAN CRISTOBAL",$D$298="FLOREANA"),VLOOKUP(D336,'Estratos SCY - FLO'!$A$4:$M$108,IF($D$304="A1",2,IF($D$304="A",5,IF($D$304="B",8,11))))+E336/(0.92*1000),VLOOKUP(D336,'Estratos SCX - ISA'!$A$3:$M$107,IF($D$304="A1",2,IF($D$304="A",5,IF($D$304="B",8,11))))+E336/(0.92*1000))))),IF(OR($D$298="",$D$304=""),"",IF(OR(D336&gt;$D$305,E336&gt;$D$306),"Rev. Total. abona.",IF(D336="",IF(E336="","",E336/(0.92*1000)),IF(OR($D$298="SAN CRISTOBAL",$D$298="FLOREANA"),VLOOKUP(D336,'Estratos SCY - FLO'!$O$4:$S$108,IF($D$304="A1",2,IF($D$304="A",3,IF($D$304="B",4,5))))+E336/(0.92*1000),VLOOKUP(D336,'Estratos SCX - ISA'!$O$4:$S$108,IF($D$304="A1",2,IF($D$304="A",3,IF($D$304="B",4,5))))+E336/(0.92*1000)))))))</f>
        <v/>
      </c>
      <c r="G336" s="59" t="str">
        <f t="shared" si="44"/>
        <v/>
      </c>
      <c r="H336" s="183"/>
      <c r="I336" s="183"/>
      <c r="J336" s="59" t="str">
        <f>IF(OR(H336="",$D$10="",$N$10=""),"",IF($D$10="COBRE",VLOOKUP(CDV_PROY_BT!H336,FDV!$B$16:$E$24,IF(CDV_PROY_BT!$N$10="3F",3,4),FALSE),IF($D$10="ACS",VLOOKUP(CDV_PROY_BT!H336,FDV!$B$10:$E$15,IF(CDV_PROY_BT!$N$10="3F",3,4),FALSE),IF($D$10="5005 (PREENSAMBLADO)",VLOOKUP(CDV_PROY_BT!H336,FDV!$B$4:$E$9,IF(CDV_PROY_BT!$N$10="3F",3,4),FALSE),VLOOKUP(CDV_PROY_BT!H336,FDV!$B$25:$E$30,IF(CDV_PROY_BT!$N$10="3F",3,4),FALSE)))))</f>
        <v/>
      </c>
      <c r="K336" s="63" t="str">
        <f t="shared" si="43"/>
        <v/>
      </c>
      <c r="L336" s="62" t="str">
        <f t="shared" si="45"/>
        <v/>
      </c>
      <c r="M336" s="62" t="str">
        <f t="shared" si="46"/>
        <v/>
      </c>
      <c r="N336" s="155"/>
      <c r="U336" s="138">
        <f t="shared" si="47"/>
        <v>0</v>
      </c>
      <c r="V336" s="138">
        <f t="shared" si="48"/>
        <v>0</v>
      </c>
    </row>
    <row r="337" spans="1:22" ht="15" hidden="1">
      <c r="A337" s="167"/>
      <c r="B337" s="168"/>
      <c r="C337" s="169"/>
      <c r="D337" s="169"/>
      <c r="E337" s="170"/>
      <c r="F337" s="58" t="str">
        <f>IF($N$300="","",IF($N$300="INDUSTRIAL",IF(OR($D$298="",$D$304=""),"",IF(OR(D337&gt;$D$305,E337&gt;$D$306),"Rev. Total. abona.",IF(D337="",IF(E337="","",E337/(0.92*1000)),IF(OR($D$298="SAN CRISTOBAL",$D$298="FLOREANA"),VLOOKUP(D337,'Estratos SCY - FLO'!$A$4:$M$108,IF($D$304="A1",2,IF($D$304="A",5,IF($D$304="B",8,11))))+E337/(0.92*1000),VLOOKUP(D337,'Estratos SCX - ISA'!$A$3:$M$107,IF($D$304="A1",2,IF($D$304="A",5,IF($D$304="B",8,11))))+E337/(0.92*1000))))),IF(OR($D$298="",$D$304=""),"",IF(OR(D337&gt;$D$305,E337&gt;$D$306),"Rev. Total. abona.",IF(D337="",IF(E337="","",E337/(0.92*1000)),IF(OR($D$298="SAN CRISTOBAL",$D$298="FLOREANA"),VLOOKUP(D337,'Estratos SCY - FLO'!$O$4:$S$108,IF($D$304="A1",2,IF($D$304="A",3,IF($D$304="B",4,5))))+E337/(0.92*1000),VLOOKUP(D337,'Estratos SCX - ISA'!$O$4:$S$108,IF($D$304="A1",2,IF($D$304="A",3,IF($D$304="B",4,5))))+E337/(0.92*1000)))))))</f>
        <v/>
      </c>
      <c r="G337" s="59" t="str">
        <f t="shared" si="44"/>
        <v/>
      </c>
      <c r="H337" s="183"/>
      <c r="I337" s="183"/>
      <c r="J337" s="59" t="str">
        <f>IF(OR(H337="",$D$10="",$N$10=""),"",IF($D$10="COBRE",VLOOKUP(CDV_PROY_BT!H337,FDV!$B$16:$E$24,IF(CDV_PROY_BT!$N$10="3F",3,4),FALSE),IF($D$10="ACS",VLOOKUP(CDV_PROY_BT!H337,FDV!$B$10:$E$15,IF(CDV_PROY_BT!$N$10="3F",3,4),FALSE),IF($D$10="5005 (PREENSAMBLADO)",VLOOKUP(CDV_PROY_BT!H337,FDV!$B$4:$E$9,IF(CDV_PROY_BT!$N$10="3F",3,4),FALSE),VLOOKUP(CDV_PROY_BT!H337,FDV!$B$25:$E$30,IF(CDV_PROY_BT!$N$10="3F",3,4),FALSE)))))</f>
        <v/>
      </c>
      <c r="K337" s="63" t="str">
        <f t="shared" si="43"/>
        <v/>
      </c>
      <c r="L337" s="62" t="str">
        <f t="shared" si="45"/>
        <v/>
      </c>
      <c r="M337" s="62" t="str">
        <f t="shared" si="46"/>
        <v/>
      </c>
      <c r="N337" s="155"/>
      <c r="U337" s="138">
        <f t="shared" si="47"/>
        <v>0</v>
      </c>
      <c r="V337" s="138">
        <f t="shared" si="48"/>
        <v>0</v>
      </c>
    </row>
    <row r="338" spans="1:22" ht="15" hidden="1">
      <c r="A338" s="167"/>
      <c r="B338" s="168"/>
      <c r="C338" s="169"/>
      <c r="D338" s="169"/>
      <c r="E338" s="170"/>
      <c r="F338" s="58" t="str">
        <f>IF($N$300="","",IF($N$300="INDUSTRIAL",IF(OR($D$298="",$D$304=""),"",IF(OR(D338&gt;$D$305,E338&gt;$D$306),"Rev. Total. abona.",IF(D338="",IF(E338="","",E338/(0.92*1000)),IF(OR($D$298="SAN CRISTOBAL",$D$298="FLOREANA"),VLOOKUP(D338,'Estratos SCY - FLO'!$A$4:$M$108,IF($D$304="A1",2,IF($D$304="A",5,IF($D$304="B",8,11))))+E338/(0.92*1000),VLOOKUP(D338,'Estratos SCX - ISA'!$A$3:$M$107,IF($D$304="A1",2,IF($D$304="A",5,IF($D$304="B",8,11))))+E338/(0.92*1000))))),IF(OR($D$298="",$D$304=""),"",IF(OR(D338&gt;$D$305,E338&gt;$D$306),"Rev. Total. abona.",IF(D338="",IF(E338="","",E338/(0.92*1000)),IF(OR($D$298="SAN CRISTOBAL",$D$298="FLOREANA"),VLOOKUP(D338,'Estratos SCY - FLO'!$O$4:$S$108,IF($D$304="A1",2,IF($D$304="A",3,IF($D$304="B",4,5))))+E338/(0.92*1000),VLOOKUP(D338,'Estratos SCX - ISA'!$O$4:$S$108,IF($D$304="A1",2,IF($D$304="A",3,IF($D$304="B",4,5))))+E338/(0.92*1000)))))))</f>
        <v/>
      </c>
      <c r="G338" s="59" t="str">
        <f t="shared" si="44"/>
        <v/>
      </c>
      <c r="H338" s="183"/>
      <c r="I338" s="183"/>
      <c r="J338" s="59" t="str">
        <f>IF(OR(H338="",$D$10="",$N$10=""),"",IF($D$10="COBRE",VLOOKUP(CDV_PROY_BT!H338,FDV!$B$16:$E$24,IF(CDV_PROY_BT!$N$10="3F",3,4),FALSE),IF($D$10="ACS",VLOOKUP(CDV_PROY_BT!H338,FDV!$B$10:$E$15,IF(CDV_PROY_BT!$N$10="3F",3,4),FALSE),IF($D$10="5005 (PREENSAMBLADO)",VLOOKUP(CDV_PROY_BT!H338,FDV!$B$4:$E$9,IF(CDV_PROY_BT!$N$10="3F",3,4),FALSE),VLOOKUP(CDV_PROY_BT!H338,FDV!$B$25:$E$30,IF(CDV_PROY_BT!$N$10="3F",3,4),FALSE)))))</f>
        <v/>
      </c>
      <c r="K338" s="63" t="str">
        <f t="shared" si="43"/>
        <v/>
      </c>
      <c r="L338" s="62" t="str">
        <f t="shared" si="45"/>
        <v/>
      </c>
      <c r="M338" s="62" t="str">
        <f t="shared" si="46"/>
        <v/>
      </c>
      <c r="N338" s="155"/>
      <c r="U338" s="138">
        <f t="shared" si="47"/>
        <v>0</v>
      </c>
      <c r="V338" s="138">
        <f t="shared" si="48"/>
        <v>0</v>
      </c>
    </row>
    <row r="339" spans="1:22" ht="15" hidden="1">
      <c r="A339" s="167"/>
      <c r="B339" s="168"/>
      <c r="C339" s="169"/>
      <c r="D339" s="169"/>
      <c r="E339" s="170"/>
      <c r="F339" s="58" t="str">
        <f>IF($N$300="","",IF($N$300="INDUSTRIAL",IF(OR($D$298="",$D$304=""),"",IF(OR(D339&gt;$D$305,E339&gt;$D$306),"Rev. Total. abona.",IF(D339="",IF(E339="","",E339/(0.92*1000)),IF(OR($D$298="SAN CRISTOBAL",$D$298="FLOREANA"),VLOOKUP(D339,'Estratos SCY - FLO'!$A$4:$M$108,IF($D$304="A1",2,IF($D$304="A",5,IF($D$304="B",8,11))))+E339/(0.92*1000),VLOOKUP(D339,'Estratos SCX - ISA'!$A$3:$M$107,IF($D$304="A1",2,IF($D$304="A",5,IF($D$304="B",8,11))))+E339/(0.92*1000))))),IF(OR($D$298="",$D$304=""),"",IF(OR(D339&gt;$D$305,E339&gt;$D$306),"Rev. Total. abona.",IF(D339="",IF(E339="","",E339/(0.92*1000)),IF(OR($D$298="SAN CRISTOBAL",$D$298="FLOREANA"),VLOOKUP(D339,'Estratos SCY - FLO'!$O$4:$S$108,IF($D$304="A1",2,IF($D$304="A",3,IF($D$304="B",4,5))))+E339/(0.92*1000),VLOOKUP(D339,'Estratos SCX - ISA'!$O$4:$S$108,IF($D$304="A1",2,IF($D$304="A",3,IF($D$304="B",4,5))))+E339/(0.92*1000)))))))</f>
        <v/>
      </c>
      <c r="G339" s="59" t="str">
        <f t="shared" si="44"/>
        <v/>
      </c>
      <c r="H339" s="183"/>
      <c r="I339" s="183"/>
      <c r="J339" s="59" t="str">
        <f>IF(OR(H339="",$D$10="",$N$10=""),"",IF($D$10="COBRE",VLOOKUP(CDV_PROY_BT!H339,FDV!$B$16:$E$24,IF(CDV_PROY_BT!$N$10="3F",3,4),FALSE),IF($D$10="ACS",VLOOKUP(CDV_PROY_BT!H339,FDV!$B$10:$E$15,IF(CDV_PROY_BT!$N$10="3F",3,4),FALSE),IF($D$10="5005 (PREENSAMBLADO)",VLOOKUP(CDV_PROY_BT!H339,FDV!$B$4:$E$9,IF(CDV_PROY_BT!$N$10="3F",3,4),FALSE),VLOOKUP(CDV_PROY_BT!H339,FDV!$B$25:$E$30,IF(CDV_PROY_BT!$N$10="3F",3,4),FALSE)))))</f>
        <v/>
      </c>
      <c r="K339" s="63" t="str">
        <f t="shared" si="43"/>
        <v/>
      </c>
      <c r="L339" s="62" t="str">
        <f t="shared" si="45"/>
        <v/>
      </c>
      <c r="M339" s="62" t="str">
        <f t="shared" si="46"/>
        <v/>
      </c>
      <c r="N339" s="155"/>
      <c r="U339" s="138">
        <f t="shared" si="47"/>
        <v>0</v>
      </c>
      <c r="V339" s="138">
        <f t="shared" si="48"/>
        <v>0</v>
      </c>
    </row>
    <row r="340" spans="1:22" ht="15" hidden="1">
      <c r="A340" s="167"/>
      <c r="B340" s="168"/>
      <c r="C340" s="169"/>
      <c r="D340" s="169"/>
      <c r="E340" s="170"/>
      <c r="F340" s="58" t="str">
        <f>IF($N$300="","",IF($N$300="INDUSTRIAL",IF(OR($D$298="",$D$304=""),"",IF(OR(D340&gt;$D$305,E340&gt;$D$306),"Rev. Total. abona.",IF(D340="",IF(E340="","",E340/(0.92*1000)),IF(OR($D$298="SAN CRISTOBAL",$D$298="FLOREANA"),VLOOKUP(D340,'Estratos SCY - FLO'!$A$4:$M$108,IF($D$304="A1",2,IF($D$304="A",5,IF($D$304="B",8,11))))+E340/(0.92*1000),VLOOKUP(D340,'Estratos SCX - ISA'!$A$3:$M$107,IF($D$304="A1",2,IF($D$304="A",5,IF($D$304="B",8,11))))+E340/(0.92*1000))))),IF(OR($D$298="",$D$304=""),"",IF(OR(D340&gt;$D$305,E340&gt;$D$306),"Rev. Total. abona.",IF(D340="",IF(E340="","",E340/(0.92*1000)),IF(OR($D$298="SAN CRISTOBAL",$D$298="FLOREANA"),VLOOKUP(D340,'Estratos SCY - FLO'!$O$4:$S$108,IF($D$304="A1",2,IF($D$304="A",3,IF($D$304="B",4,5))))+E340/(0.92*1000),VLOOKUP(D340,'Estratos SCX - ISA'!$O$4:$S$108,IF($D$304="A1",2,IF($D$304="A",3,IF($D$304="B",4,5))))+E340/(0.92*1000)))))))</f>
        <v/>
      </c>
      <c r="G340" s="59" t="str">
        <f t="shared" si="44"/>
        <v/>
      </c>
      <c r="H340" s="183"/>
      <c r="I340" s="183"/>
      <c r="J340" s="59" t="str">
        <f>IF(OR(H340="",$D$10="",$N$10=""),"",IF($D$10="COBRE",VLOOKUP(CDV_PROY_BT!H340,FDV!$B$16:$E$24,IF(CDV_PROY_BT!$N$10="3F",3,4),FALSE),IF($D$10="ACS",VLOOKUP(CDV_PROY_BT!H340,FDV!$B$10:$E$15,IF(CDV_PROY_BT!$N$10="3F",3,4),FALSE),IF($D$10="5005 (PREENSAMBLADO)",VLOOKUP(CDV_PROY_BT!H340,FDV!$B$4:$E$9,IF(CDV_PROY_BT!$N$10="3F",3,4),FALSE),VLOOKUP(CDV_PROY_BT!H340,FDV!$B$25:$E$30,IF(CDV_PROY_BT!$N$10="3F",3,4),FALSE)))))</f>
        <v/>
      </c>
      <c r="K340" s="63" t="str">
        <f t="shared" si="43"/>
        <v/>
      </c>
      <c r="L340" s="62" t="str">
        <f t="shared" si="45"/>
        <v/>
      </c>
      <c r="M340" s="62" t="str">
        <f t="shared" si="46"/>
        <v/>
      </c>
      <c r="N340" s="156"/>
      <c r="U340" s="138">
        <f t="shared" si="47"/>
        <v>0</v>
      </c>
      <c r="V340" s="138">
        <f t="shared" si="48"/>
        <v>0</v>
      </c>
    </row>
    <row r="341" spans="1:22" ht="15.75" hidden="1" thickBot="1">
      <c r="A341" s="178"/>
      <c r="B341" s="179"/>
      <c r="C341" s="180"/>
      <c r="D341" s="180"/>
      <c r="E341" s="181"/>
      <c r="F341" s="68" t="str">
        <f>IF($N$300="","",IF($N$300="INDUSTRIAL",IF(OR($D$298="",$D$304=""),"",IF(OR(D341&gt;$D$305,E341&gt;$D$306),"Rev. Total. abona.",IF(D341="",IF(E341="","",E341/(0.92*1000)),IF(OR($D$298="SAN CRISTOBAL",$D$298="FLOREANA"),VLOOKUP(D341,'Estratos SCY - FLO'!$A$4:$M$108,IF($D$304="A1",2,IF($D$304="A",5,IF($D$304="B",8,11))))+E341/(0.92*1000),VLOOKUP(D341,'Estratos SCX - ISA'!$A$3:$M$107,IF($D$304="A1",2,IF($D$304="A",5,IF($D$304="B",8,11))))+E341/(0.92*1000))))),IF(OR($D$298="",$D$304=""),"",IF(OR(D341&gt;$D$305,E341&gt;$D$306),"Rev. Total. abona.",IF(D341="",IF(E341="","",E341/(0.92*1000)),IF(OR($D$298="SAN CRISTOBAL",$D$298="FLOREANA"),VLOOKUP(D341,'Estratos SCY - FLO'!$O$4:$S$108,IF($D$304="A1",2,IF($D$304="A",3,IF($D$304="B",4,5))))+E341/(0.92*1000),VLOOKUP(D341,'Estratos SCX - ISA'!$O$4:$S$108,IF($D$304="A1",2,IF($D$304="A",3,IF($D$304="B",4,5))))+E341/(0.92*1000)))))))</f>
        <v/>
      </c>
      <c r="G341" s="69" t="str">
        <f t="shared" si="44"/>
        <v/>
      </c>
      <c r="H341" s="184"/>
      <c r="I341" s="184"/>
      <c r="J341" s="69" t="str">
        <f>IF(OR(H341="",$D$10="",$N$10=""),"",IF($D$10="COBRE",VLOOKUP(CDV_PROY_BT!H341,FDV!$B$16:$E$24,IF(CDV_PROY_BT!$N$10="3F",3,4),FALSE),IF($D$10="ACS",VLOOKUP(CDV_PROY_BT!H341,FDV!$B$10:$E$15,IF(CDV_PROY_BT!$N$10="3F",3,4),FALSE),IF($D$10="5005 (PREENSAMBLADO)",VLOOKUP(CDV_PROY_BT!H341,FDV!$B$4:$E$9,IF(CDV_PROY_BT!$N$10="3F",3,4),FALSE),VLOOKUP(CDV_PROY_BT!H341,FDV!$B$25:$E$30,IF(CDV_PROY_BT!$N$10="3F",3,4),FALSE)))))</f>
        <v/>
      </c>
      <c r="K341" s="65" t="str">
        <f t="shared" si="43"/>
        <v/>
      </c>
      <c r="L341" s="64" t="str">
        <f t="shared" si="45"/>
        <v/>
      </c>
      <c r="M341" s="64" t="str">
        <f t="shared" si="46"/>
        <v/>
      </c>
      <c r="N341" s="157"/>
      <c r="U341" s="138">
        <f t="shared" si="47"/>
        <v>0</v>
      </c>
      <c r="V341" s="138">
        <f t="shared" si="48"/>
        <v>0</v>
      </c>
    </row>
    <row r="342" spans="1:22" ht="15.75" hidden="1" thickBot="1">
      <c r="A342" s="143"/>
      <c r="B342" s="67" t="str">
        <f>IF(N311="","",N311)</f>
        <v>P26</v>
      </c>
      <c r="C342" s="144"/>
      <c r="D342" s="144"/>
      <c r="E342" s="145"/>
      <c r="F342" s="68"/>
      <c r="G342" s="69" t="str">
        <f t="shared" si="44"/>
        <v/>
      </c>
      <c r="H342" s="146" t="e">
        <f>IF(B342="","",IF(B342-A342=1,H341,""))</f>
        <v>#VALUE!</v>
      </c>
      <c r="I342" s="146"/>
      <c r="J342" s="70" t="e">
        <f>IF(OR(H342="",$D$10="",$N$10=""),"",IF($D$10="COBRE",VLOOKUP(CDV_PROY_BT!H342,FDV!$B$16:$E$24,IF(CDV_PROY_BT!$N$10="3F",3,4),FALSE),IF($D$10="ACS",VLOOKUP(CDV_PROY_BT!H342,FDV!$B$10:$E$15,IF(CDV_PROY_BT!$N$10="3F",3,4),FALSE),IF($D$10="5005 (PREENSAMBLADO)",VLOOKUP(CDV_PROY_BT!H342,FDV!$B$4:$E$9,IF(CDV_PROY_BT!$N$10="3F",3,4),FALSE),VLOOKUP(CDV_PROY_BT!H342,FDV!$B$25:$E$30,IF(CDV_PROY_BT!$N$10="3F",3,4),FALSE)))))</f>
        <v>#VALUE!</v>
      </c>
      <c r="K342" s="71" t="str">
        <f t="shared" si="43"/>
        <v/>
      </c>
      <c r="L342" s="68" t="str">
        <f aca="true" t="shared" si="49" ref="L342">IF(C342="","",ROUND(K342/J342,2))</f>
        <v/>
      </c>
      <c r="M342" s="72">
        <v>0</v>
      </c>
      <c r="N342" s="66"/>
      <c r="U342" s="138">
        <f aca="true" t="shared" si="50" ref="U342:U343">+IF(D342&gt;0,C342,0)</f>
        <v>0</v>
      </c>
      <c r="V342" s="138">
        <f aca="true" t="shared" si="51" ref="V342:V343">IF(C342="",0,C342*G342)</f>
        <v>0</v>
      </c>
    </row>
    <row r="343" spans="1:22" ht="15.75" hidden="1" thickBot="1">
      <c r="A343" s="73" t="s">
        <v>113</v>
      </c>
      <c r="B343" s="74"/>
      <c r="C343" s="75"/>
      <c r="D343" s="75"/>
      <c r="E343" s="76"/>
      <c r="F343" s="77"/>
      <c r="G343" s="78"/>
      <c r="H343" s="79"/>
      <c r="I343" s="79"/>
      <c r="J343" s="78"/>
      <c r="K343" s="121"/>
      <c r="L343" s="121"/>
      <c r="M343" s="128"/>
      <c r="N343" s="233"/>
      <c r="U343" s="138">
        <f t="shared" si="50"/>
        <v>0</v>
      </c>
      <c r="V343" s="138">
        <f t="shared" si="51"/>
        <v>0</v>
      </c>
    </row>
    <row r="344" spans="1:14" ht="15.75" hidden="1" thickBot="1">
      <c r="A344" s="93" t="s">
        <v>96</v>
      </c>
      <c r="B344" s="94">
        <f>+ROUND(SUMIF(H315:H341,"4/0",V315:V343)*1.015,0)</f>
        <v>0</v>
      </c>
      <c r="C344" s="93" t="s">
        <v>97</v>
      </c>
      <c r="D344" s="94">
        <f>ROUND((SUMIF(H315:H341,"3/0",V315:V343))*1.015,0)</f>
        <v>0</v>
      </c>
      <c r="E344" s="82" t="s">
        <v>95</v>
      </c>
      <c r="F344" s="81">
        <f>ROUND((SUMIF(H315:H341,"2/0",V315:V343))*1.015,0)</f>
        <v>0</v>
      </c>
      <c r="G344" s="80" t="s">
        <v>57</v>
      </c>
      <c r="H344" s="81">
        <f>ROUND((SUMIF(H315:H341,"1/0",V315:V343))*1.015,0)</f>
        <v>116</v>
      </c>
      <c r="I344" s="93" t="s">
        <v>58</v>
      </c>
      <c r="J344" s="94">
        <f>ROUND((SUMIF(H315:H341,"2",V315:V343))*1.015,0)</f>
        <v>23</v>
      </c>
      <c r="K344" s="147"/>
      <c r="L344" s="91"/>
      <c r="M344" s="92"/>
      <c r="N344" s="234"/>
    </row>
    <row r="345" spans="1:14" ht="15.75" hidden="1" thickBot="1">
      <c r="A345" s="119" t="s">
        <v>107</v>
      </c>
      <c r="B345" s="92"/>
      <c r="C345" s="91"/>
      <c r="D345" s="92"/>
      <c r="E345" s="91"/>
      <c r="F345" s="92"/>
      <c r="G345" s="91"/>
      <c r="H345" s="92"/>
      <c r="I345" s="92"/>
      <c r="J345" s="91"/>
      <c r="K345" s="92"/>
      <c r="L345" s="91"/>
      <c r="M345" s="92"/>
      <c r="N345" s="234"/>
    </row>
    <row r="346" spans="1:14" ht="15.75" hidden="1" thickBot="1">
      <c r="A346" s="93" t="s">
        <v>96</v>
      </c>
      <c r="B346" s="94">
        <f>+ROUND(SUMIF(I315:I341,"4/0",U315:U343)*1.015,0)</f>
        <v>0</v>
      </c>
      <c r="C346" s="93" t="s">
        <v>97</v>
      </c>
      <c r="D346" s="94">
        <f>ROUND((SUMIF(I315:I341,"3/0",U315:U343))*1.015,0)</f>
        <v>0</v>
      </c>
      <c r="E346" s="93" t="s">
        <v>95</v>
      </c>
      <c r="F346" s="94">
        <f>ROUND((SUMIF(I315:I341,"2/0",U315:U343))*1.015,0)</f>
        <v>0</v>
      </c>
      <c r="G346" s="93" t="s">
        <v>57</v>
      </c>
      <c r="H346" s="94">
        <f>ROUND((SUMIF(I315:I341,"1/0",U315:U343))*1.015,0)</f>
        <v>116</v>
      </c>
      <c r="I346" s="93" t="s">
        <v>58</v>
      </c>
      <c r="J346" s="94">
        <f>ROUND((SUMIF(I315:I341,"2",U315:U343))*1.015,0)</f>
        <v>23</v>
      </c>
      <c r="L346" s="91"/>
      <c r="M346" s="92"/>
      <c r="N346" s="234"/>
    </row>
    <row r="347" spans="1:14" ht="15.75" hidden="1" thickBot="1">
      <c r="A347" s="235" t="s">
        <v>123</v>
      </c>
      <c r="B347" s="235"/>
      <c r="C347" s="235"/>
      <c r="D347" s="21">
        <f>IF(N302="","",SUM(C315:C341))</f>
        <v>137</v>
      </c>
      <c r="E347" s="28" t="s">
        <v>59</v>
      </c>
      <c r="G347" s="21"/>
      <c r="H347" s="21"/>
      <c r="I347" s="21"/>
      <c r="J347" s="21"/>
      <c r="K347" s="21"/>
      <c r="L347" s="21"/>
      <c r="M347" s="23"/>
      <c r="N347" s="83" t="s">
        <v>80</v>
      </c>
    </row>
    <row r="348" spans="1:14" ht="15" hidden="1">
      <c r="A348" s="36" t="s">
        <v>60</v>
      </c>
      <c r="B348" s="236"/>
      <c r="C348" s="236"/>
      <c r="D348" s="236"/>
      <c r="E348" s="236"/>
      <c r="F348" s="236"/>
      <c r="G348" s="236"/>
      <c r="H348" s="236"/>
      <c r="I348" s="236"/>
      <c r="J348" s="236"/>
      <c r="K348" s="236"/>
      <c r="L348" s="236"/>
      <c r="M348" s="237"/>
      <c r="N348" s="84" t="s">
        <v>61</v>
      </c>
    </row>
    <row r="349" spans="1:14" ht="15.75" hidden="1" thickBot="1">
      <c r="A349" s="148"/>
      <c r="B349" s="238"/>
      <c r="C349" s="238"/>
      <c r="D349" s="238"/>
      <c r="E349" s="238"/>
      <c r="F349" s="238"/>
      <c r="G349" s="238"/>
      <c r="H349" s="238"/>
      <c r="I349" s="238"/>
      <c r="J349" s="238"/>
      <c r="K349" s="238"/>
      <c r="L349" s="238"/>
      <c r="M349" s="239"/>
      <c r="N349" s="85">
        <f>MAX(N315:N341)</f>
        <v>6.09</v>
      </c>
    </row>
    <row r="350" ht="15.75" hidden="1" thickBot="1"/>
    <row r="351" spans="1:14" ht="15.75" hidden="1" thickBot="1">
      <c r="A351" s="18"/>
      <c r="B351" s="18"/>
      <c r="C351" s="19"/>
      <c r="D351" s="19"/>
      <c r="E351" s="19"/>
      <c r="F351" s="20"/>
      <c r="G351" s="18"/>
      <c r="H351" s="18"/>
      <c r="I351" s="18"/>
      <c r="J351" s="19"/>
      <c r="K351" s="18"/>
      <c r="L351" s="18"/>
      <c r="M351" s="131" t="s">
        <v>122</v>
      </c>
      <c r="N351" s="161" t="s">
        <v>200</v>
      </c>
    </row>
    <row r="352" spans="1:14" ht="18" hidden="1">
      <c r="A352" s="256" t="s">
        <v>62</v>
      </c>
      <c r="B352" s="256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</row>
    <row r="353" spans="1:14" ht="18" hidden="1">
      <c r="A353" s="192"/>
      <c r="B353" s="192"/>
      <c r="C353" s="192"/>
      <c r="D353" s="192"/>
      <c r="E353" s="192"/>
      <c r="F353" s="22" t="s">
        <v>111</v>
      </c>
      <c r="G353" s="192"/>
      <c r="H353" s="192"/>
      <c r="I353" s="192"/>
      <c r="J353" s="192"/>
      <c r="K353" s="192"/>
      <c r="L353" s="192"/>
      <c r="M353" s="192"/>
      <c r="N353" s="87"/>
    </row>
    <row r="354" spans="1:31" ht="15.75" hidden="1">
      <c r="A354" s="257" t="s">
        <v>112</v>
      </c>
      <c r="B354" s="257"/>
      <c r="C354" s="257"/>
      <c r="D354" s="257"/>
      <c r="E354" s="257"/>
      <c r="F354" s="257"/>
      <c r="G354" s="257"/>
      <c r="H354" s="257"/>
      <c r="I354" s="257"/>
      <c r="J354" s="257"/>
      <c r="K354" s="257"/>
      <c r="L354" s="257"/>
      <c r="M354" s="257"/>
      <c r="N354" s="257"/>
      <c r="U354" s="138" t="s">
        <v>63</v>
      </c>
      <c r="W354" s="138" t="s">
        <v>24</v>
      </c>
      <c r="Y354" s="138" t="s">
        <v>69</v>
      </c>
      <c r="AA354" s="138" t="s">
        <v>72</v>
      </c>
      <c r="AB354" s="138" t="s">
        <v>77</v>
      </c>
      <c r="AC354" s="138" t="s">
        <v>79</v>
      </c>
      <c r="AD354" s="138" t="s">
        <v>160</v>
      </c>
      <c r="AE354" s="138" t="s">
        <v>166</v>
      </c>
    </row>
    <row r="355" spans="1:31" ht="16.5" hidden="1" thickBot="1">
      <c r="A355" s="24"/>
      <c r="B355" s="18"/>
      <c r="C355" s="19"/>
      <c r="D355" s="19"/>
      <c r="E355" s="19"/>
      <c r="F355" s="20"/>
      <c r="G355" s="20"/>
      <c r="H355" s="18"/>
      <c r="I355" s="18"/>
      <c r="J355" s="18"/>
      <c r="K355" s="19"/>
      <c r="L355" s="18"/>
      <c r="M355" s="18"/>
      <c r="N355" s="23"/>
      <c r="U355" s="138" t="s">
        <v>64</v>
      </c>
      <c r="W355" s="138" t="s">
        <v>82</v>
      </c>
      <c r="Y355" s="138" t="s">
        <v>70</v>
      </c>
      <c r="AA355" s="138" t="s">
        <v>73</v>
      </c>
      <c r="AB355" s="138" t="s">
        <v>29</v>
      </c>
      <c r="AC355" s="139">
        <v>2</v>
      </c>
      <c r="AD355" s="138" t="s">
        <v>161</v>
      </c>
      <c r="AE355" s="138">
        <v>0.65</v>
      </c>
    </row>
    <row r="356" spans="1:31" ht="15.75" hidden="1" thickBot="1">
      <c r="A356" s="25" t="s">
        <v>23</v>
      </c>
      <c r="B356" s="26"/>
      <c r="C356" s="88"/>
      <c r="D356" s="246" t="s">
        <v>64</v>
      </c>
      <c r="E356" s="246"/>
      <c r="F356" s="258" t="s">
        <v>92</v>
      </c>
      <c r="G356" s="259"/>
      <c r="H356" s="260" t="e">
        <f>+H298</f>
        <v>#REF!</v>
      </c>
      <c r="I356" s="261"/>
      <c r="J356" s="262"/>
      <c r="K356" s="263" t="s">
        <v>81</v>
      </c>
      <c r="L356" s="264"/>
      <c r="M356" s="265" t="e">
        <f>+M298</f>
        <v>#REF!</v>
      </c>
      <c r="N356" s="266"/>
      <c r="U356" s="138" t="s">
        <v>65</v>
      </c>
      <c r="W356" s="138" t="s">
        <v>83</v>
      </c>
      <c r="Y356" s="138" t="s">
        <v>7</v>
      </c>
      <c r="AA356" s="138" t="s">
        <v>76</v>
      </c>
      <c r="AB356" s="138" t="s">
        <v>78</v>
      </c>
      <c r="AC356" s="139" t="s">
        <v>0</v>
      </c>
      <c r="AD356" s="138" t="s">
        <v>162</v>
      </c>
      <c r="AE356" s="138">
        <v>0.7</v>
      </c>
    </row>
    <row r="357" spans="1:31" ht="15.75" hidden="1" thickBot="1">
      <c r="A357" s="21"/>
      <c r="B357" s="21"/>
      <c r="C357" s="21"/>
      <c r="D357" s="21"/>
      <c r="E357" s="21"/>
      <c r="F357" s="28"/>
      <c r="G357" s="28"/>
      <c r="H357" s="21"/>
      <c r="I357" s="21"/>
      <c r="J357" s="21"/>
      <c r="K357" s="21"/>
      <c r="L357" s="21"/>
      <c r="M357" s="21"/>
      <c r="N357" s="23"/>
      <c r="U357" s="138" t="s">
        <v>66</v>
      </c>
      <c r="W357" s="138" t="s">
        <v>68</v>
      </c>
      <c r="Y357" s="138" t="s">
        <v>27</v>
      </c>
      <c r="AA357" s="138" t="s">
        <v>74</v>
      </c>
      <c r="AC357" s="139" t="s">
        <v>1</v>
      </c>
      <c r="AD357" s="138" t="s">
        <v>163</v>
      </c>
      <c r="AE357" s="138">
        <v>0.8</v>
      </c>
    </row>
    <row r="358" spans="1:31" ht="15.75" hidden="1" thickBot="1">
      <c r="A358" s="25" t="s">
        <v>24</v>
      </c>
      <c r="B358" s="26"/>
      <c r="C358" s="26"/>
      <c r="D358" s="245" t="s">
        <v>68</v>
      </c>
      <c r="E358" s="246"/>
      <c r="F358" s="247"/>
      <c r="G358" s="26"/>
      <c r="H358" s="29"/>
      <c r="I358" s="29"/>
      <c r="J358" s="26"/>
      <c r="K358" s="26"/>
      <c r="L358" s="26" t="s">
        <v>164</v>
      </c>
      <c r="M358" s="26"/>
      <c r="N358" s="208" t="s">
        <v>163</v>
      </c>
      <c r="U358" s="138" t="s">
        <v>67</v>
      </c>
      <c r="Y358" s="138" t="s">
        <v>9</v>
      </c>
      <c r="AA358" s="138" t="s">
        <v>75</v>
      </c>
      <c r="AC358" s="139" t="s">
        <v>2</v>
      </c>
      <c r="AE358" s="138">
        <v>0.9</v>
      </c>
    </row>
    <row r="359" spans="1:31" ht="15.75" hidden="1" thickBot="1">
      <c r="A359" s="23" t="s">
        <v>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 t="s">
        <v>168</v>
      </c>
      <c r="L359" s="205"/>
      <c r="M359" s="23"/>
      <c r="N359" s="43" t="str">
        <f>IF(N360="","",IF(N360="3F","220 / 127 V","240 / 120 V"))</f>
        <v>220 / 127 V</v>
      </c>
      <c r="AC359" s="141" t="s">
        <v>3</v>
      </c>
      <c r="AE359" s="138">
        <v>1</v>
      </c>
    </row>
    <row r="360" spans="1:24" ht="15.75" hidden="1" thickBot="1">
      <c r="A360" s="30" t="s">
        <v>26</v>
      </c>
      <c r="B360" s="18"/>
      <c r="C360" s="23"/>
      <c r="D360" s="248" t="s">
        <v>70</v>
      </c>
      <c r="E360" s="249"/>
      <c r="F360" s="18"/>
      <c r="G360" s="18"/>
      <c r="H360" s="18"/>
      <c r="I360" s="18"/>
      <c r="J360" s="18"/>
      <c r="K360" s="23"/>
      <c r="L360" s="18" t="s">
        <v>169</v>
      </c>
      <c r="M360" s="18"/>
      <c r="N360" s="151" t="s">
        <v>78</v>
      </c>
      <c r="U360" s="138" t="s">
        <v>64</v>
      </c>
      <c r="W360" s="138" t="s">
        <v>29</v>
      </c>
      <c r="X360" s="138" t="s">
        <v>78</v>
      </c>
    </row>
    <row r="361" spans="1:24" ht="15.75" hidden="1" thickBot="1">
      <c r="A361" s="23"/>
      <c r="B361" s="31"/>
      <c r="C361" s="23"/>
      <c r="D361" s="19"/>
      <c r="E361" s="32"/>
      <c r="F361" s="32"/>
      <c r="G361" s="20"/>
      <c r="H361" s="20"/>
      <c r="I361" s="20"/>
      <c r="J361" s="33"/>
      <c r="K361" s="21" t="s">
        <v>165</v>
      </c>
      <c r="L361" s="35"/>
      <c r="M361" s="18"/>
      <c r="N361" s="206">
        <v>0.65</v>
      </c>
      <c r="U361" s="138" t="s">
        <v>84</v>
      </c>
      <c r="W361" s="138">
        <v>10</v>
      </c>
      <c r="X361" s="138">
        <v>30</v>
      </c>
    </row>
    <row r="362" spans="1:24" ht="15.75" hidden="1" thickBot="1">
      <c r="A362" s="36" t="s">
        <v>71</v>
      </c>
      <c r="B362" s="37"/>
      <c r="C362" s="37"/>
      <c r="D362" s="150" t="s">
        <v>73</v>
      </c>
      <c r="E362" s="38"/>
      <c r="F362" s="39"/>
      <c r="G362" s="39"/>
      <c r="H362" s="39"/>
      <c r="I362" s="39"/>
      <c r="J362" s="37"/>
      <c r="K362" s="36"/>
      <c r="L362" s="37"/>
      <c r="M362" s="89" t="s">
        <v>30</v>
      </c>
      <c r="N362" s="190" t="s">
        <v>187</v>
      </c>
      <c r="U362" s="138" t="s">
        <v>85</v>
      </c>
      <c r="W362" s="138">
        <v>15</v>
      </c>
      <c r="X362" s="138">
        <v>50</v>
      </c>
    </row>
    <row r="363" spans="1:24" ht="15.75" hidden="1" thickBot="1">
      <c r="A363" s="41" t="s">
        <v>31</v>
      </c>
      <c r="B363" s="21"/>
      <c r="C363" s="21"/>
      <c r="D363" s="150">
        <v>11</v>
      </c>
      <c r="E363" s="21"/>
      <c r="F363" s="28"/>
      <c r="G363" s="42" t="s">
        <v>32</v>
      </c>
      <c r="H363" s="250" t="e">
        <f>+H305</f>
        <v>#REF!</v>
      </c>
      <c r="I363" s="251"/>
      <c r="J363" s="251"/>
      <c r="K363" s="41"/>
      <c r="L363" s="21"/>
      <c r="M363" s="115" t="s">
        <v>93</v>
      </c>
      <c r="N363" s="207">
        <f>+N364/N361</f>
        <v>72.57973716471412</v>
      </c>
      <c r="U363" s="138" t="s">
        <v>86</v>
      </c>
      <c r="W363" s="138">
        <v>25</v>
      </c>
      <c r="X363" s="138">
        <v>75</v>
      </c>
    </row>
    <row r="364" spans="1:24" ht="15.75" hidden="1" thickBot="1">
      <c r="A364" s="41" t="s">
        <v>34</v>
      </c>
      <c r="B364" s="21"/>
      <c r="C364" s="21"/>
      <c r="D364" s="162">
        <v>550</v>
      </c>
      <c r="E364" s="41"/>
      <c r="F364" s="28"/>
      <c r="G364" s="42" t="s">
        <v>35</v>
      </c>
      <c r="H364" s="252" t="e">
        <f>+H306</f>
        <v>#REF!</v>
      </c>
      <c r="I364" s="253"/>
      <c r="J364" s="253"/>
      <c r="K364" s="41"/>
      <c r="L364" s="21"/>
      <c r="M364" s="115" t="s">
        <v>167</v>
      </c>
      <c r="N364" s="116">
        <f>IF($N$358="","",IF($N$358="INDUSTRIAL",IF(OR(D356="",D362="",D363=""),"",(IF(OR(D356="SAN CRISTOBAL",D356="FLOREANA"),VLOOKUP(D363,'Estratos SCY - FLO'!$A$4:$M$108,IF(D362="A1",2,IF(D362="A",5,IF(D362="B",8,11))),0),VLOOKUP(D363,'Estratos SCX - ISA'!$A$4:$M$108,IF(D362="A1",2,IF(D362="A",5,IF(D362="B",8,11))),0))+D364/920)*N361),IF(OR(D356="",D362="",D363=""),"",(IF(OR(D356="SAN CRISTOBAL",D356="FLOREANA"),VLOOKUP(D363,'Estratos SCY - FLO'!$O$4:$S$108,IF(D362="A1",2,IF(D362="A",3,IF(D362="B",4,5))),0),VLOOKUP(D363,'Estratos SCX - ISA'!$O$4:$S$108,IF(D362="A1",2,IF(D362="A",3,IF(D362="B",4,5))),0))+D364/920)*N361)))</f>
        <v>47.17682915706418</v>
      </c>
      <c r="U364" s="138" t="s">
        <v>87</v>
      </c>
      <c r="W364" s="138">
        <v>37.5</v>
      </c>
      <c r="X364" s="138">
        <v>100</v>
      </c>
    </row>
    <row r="365" spans="1:24" ht="36" customHeight="1" hidden="1" thickBot="1">
      <c r="A365" s="254" t="str">
        <f>+IF(OR(N358="INDUSTRIAL"),"NOTA: Estratos:  A1 (Consumo-Alto); A (Consumo-Medio); B(Consumo-Bajo); C(Consumo-Mínimo)",IF(N358="","","NOTA: Estratos:  A1 (Casco Urbano-Sector hotelero);A (Barrios Centricos); B(Zona Periferica); C(Zona Rural)"))</f>
        <v>NOTA: Estratos:  A1 (Consumo-Alto); A (Consumo-Medio); B(Consumo-Bajo); C(Consumo-Mínimo)</v>
      </c>
      <c r="B365" s="255"/>
      <c r="C365" s="255"/>
      <c r="D365" s="255"/>
      <c r="E365" s="255"/>
      <c r="F365" s="255"/>
      <c r="G365" s="255"/>
      <c r="H365" s="255"/>
      <c r="I365" s="255"/>
      <c r="J365" s="255"/>
      <c r="K365" s="44"/>
      <c r="L365" s="34"/>
      <c r="M365" s="130" t="str">
        <f>+IF(OR(N360="",D362="",D363=""),"","POT. NOMINAL TRAFO. (KVA):")</f>
        <v>POT. NOMINAL TRAFO. (KVA):</v>
      </c>
      <c r="N365" s="117">
        <f>IF(OR(N360="",N361="",N361=0),"",IF(N360="1F",IF(N364&lt;$W$11,$W$11,IF(AND(N364&gt;$W$11,N364&lt;$W$12),$W$12,IF(AND(N364&gt;$W$12,N364&lt;$W$13),$W$13,IF(AND(N364&gt;$W$13,N364&lt;$W$14),$W$14,IF(AND(N364&gt;$W$14,N364&lt;$W$15),$W$15,IF(AND(N364&gt;$W$15,N364&lt;$W$16),$W$16,IF(AND(N364&gt;$W$16,N364&lt;$W$17),$W$17,IF(AND(N364&gt;$W$17,N364&lt;$W$18),$W$18,IF(AND(N364&gt;$W$18,N364&lt;$W$19),$W$19,""))))))))),IF($N$364&lt;$X$11,$X$11,IF(AND(N364&gt;$X$11,N364&lt;$X$12),$X$12,IF(AND(N364&gt;$X$12,N364&lt;$X$13),$X$13,IF(AND(N364&gt;$X$13,N364&lt;$X$14),$X$14,IF(AND(N364&gt;$X$14,N364&lt;$X$15),$X$15,IF(AND(N364&gt;$X$15,N364&lt;$X$16),$X$16,IF(AND(N364&gt;$X$16,N364&lt;$X$17),$X$17,"")))))))))</f>
        <v>50</v>
      </c>
      <c r="U365" s="138" t="s">
        <v>88</v>
      </c>
      <c r="W365" s="138">
        <v>50</v>
      </c>
      <c r="X365" s="138">
        <v>125</v>
      </c>
    </row>
    <row r="366" spans="1:24" ht="15.75" hidden="1" thickBot="1">
      <c r="A366" s="21"/>
      <c r="B366" s="21"/>
      <c r="C366" s="21"/>
      <c r="D366" s="21"/>
      <c r="E366" s="21"/>
      <c r="F366" s="28"/>
      <c r="G366" s="28"/>
      <c r="H366" s="21"/>
      <c r="I366" s="21"/>
      <c r="J366" s="21"/>
      <c r="K366" s="21"/>
      <c r="L366" s="21"/>
      <c r="M366" s="21"/>
      <c r="N366" s="23"/>
      <c r="U366" s="138" t="s">
        <v>89</v>
      </c>
      <c r="W366" s="138">
        <v>75</v>
      </c>
      <c r="X366" s="138">
        <v>150</v>
      </c>
    </row>
    <row r="367" spans="1:24" ht="19.5" hidden="1" thickBot="1">
      <c r="A367" s="46" t="s">
        <v>36</v>
      </c>
      <c r="B367" s="47"/>
      <c r="C367" s="47"/>
      <c r="D367" s="48" t="s">
        <v>37</v>
      </c>
      <c r="E367" s="49"/>
      <c r="F367" s="50"/>
      <c r="G367" s="50"/>
      <c r="H367" s="37"/>
      <c r="I367" s="37"/>
      <c r="J367" s="37"/>
      <c r="K367" s="37"/>
      <c r="L367" s="37"/>
      <c r="M367" s="37"/>
      <c r="N367" s="40"/>
      <c r="U367" s="138" t="s">
        <v>90</v>
      </c>
      <c r="W367" s="138">
        <v>100</v>
      </c>
      <c r="X367" s="138">
        <v>200</v>
      </c>
    </row>
    <row r="368" spans="1:23" ht="15.75" hidden="1" thickBot="1">
      <c r="A368" s="41"/>
      <c r="B368" s="21"/>
      <c r="C368" s="21"/>
      <c r="D368" s="21"/>
      <c r="E368" s="21"/>
      <c r="F368" s="28"/>
      <c r="G368" s="28"/>
      <c r="H368" s="21"/>
      <c r="I368" s="21"/>
      <c r="J368" s="21"/>
      <c r="K368" s="21"/>
      <c r="L368" s="21" t="s">
        <v>186</v>
      </c>
      <c r="M368" s="21"/>
      <c r="N368" s="163"/>
      <c r="U368" s="138" t="s">
        <v>91</v>
      </c>
      <c r="W368" s="138">
        <v>112.5</v>
      </c>
    </row>
    <row r="369" spans="1:23" ht="15.75" hidden="1" thickBot="1">
      <c r="A369" s="44"/>
      <c r="B369" s="34"/>
      <c r="C369" s="34"/>
      <c r="D369" s="34"/>
      <c r="E369" s="34"/>
      <c r="F369" s="45"/>
      <c r="G369" s="45"/>
      <c r="H369" s="34"/>
      <c r="I369" s="34"/>
      <c r="J369" s="34"/>
      <c r="K369" s="34"/>
      <c r="L369" s="113" t="s">
        <v>102</v>
      </c>
      <c r="M369" s="142"/>
      <c r="N369" s="163" t="s">
        <v>150</v>
      </c>
      <c r="W369" s="138">
        <v>125</v>
      </c>
    </row>
    <row r="370" spans="1:14" ht="15.75" hidden="1" thickBot="1">
      <c r="A370" s="21"/>
      <c r="B370" s="21"/>
      <c r="C370" s="21"/>
      <c r="D370" s="21"/>
      <c r="E370" s="21"/>
      <c r="F370" s="28"/>
      <c r="G370" s="28"/>
      <c r="H370" s="21"/>
      <c r="I370" s="21"/>
      <c r="J370" s="21"/>
      <c r="K370" s="21"/>
      <c r="L370" s="21"/>
      <c r="M370" s="21"/>
      <c r="N370" s="23"/>
    </row>
    <row r="371" spans="1:22" ht="15.75" hidden="1" thickBot="1">
      <c r="A371" s="240" t="s">
        <v>38</v>
      </c>
      <c r="B371" s="241"/>
      <c r="C371" s="52" t="s">
        <v>39</v>
      </c>
      <c r="D371" s="52" t="s">
        <v>40</v>
      </c>
      <c r="E371" s="53" t="s">
        <v>41</v>
      </c>
      <c r="F371" s="53" t="s">
        <v>42</v>
      </c>
      <c r="G371" s="240" t="s">
        <v>43</v>
      </c>
      <c r="H371" s="242"/>
      <c r="I371" s="242"/>
      <c r="J371" s="241"/>
      <c r="K371" s="243" t="s">
        <v>44</v>
      </c>
      <c r="L371" s="242" t="s">
        <v>45</v>
      </c>
      <c r="M371" s="242"/>
      <c r="N371" s="241"/>
      <c r="U371" s="232" t="s">
        <v>98</v>
      </c>
      <c r="V371" s="232" t="s">
        <v>99</v>
      </c>
    </row>
    <row r="372" spans="1:22" ht="15.75" hidden="1" thickBot="1">
      <c r="A372" s="52" t="s">
        <v>46</v>
      </c>
      <c r="B372" s="52" t="s">
        <v>47</v>
      </c>
      <c r="C372" s="54" t="s">
        <v>48</v>
      </c>
      <c r="D372" s="54" t="s">
        <v>49</v>
      </c>
      <c r="E372" s="55" t="s">
        <v>50</v>
      </c>
      <c r="F372" s="55" t="s">
        <v>51</v>
      </c>
      <c r="G372" s="56" t="s">
        <v>52</v>
      </c>
      <c r="H372" s="43" t="s">
        <v>105</v>
      </c>
      <c r="I372" s="124" t="s">
        <v>106</v>
      </c>
      <c r="J372" s="43" t="s">
        <v>53</v>
      </c>
      <c r="K372" s="244"/>
      <c r="L372" s="53" t="s">
        <v>54</v>
      </c>
      <c r="M372" s="43" t="s">
        <v>55</v>
      </c>
      <c r="N372" s="57" t="s">
        <v>56</v>
      </c>
      <c r="U372" s="232"/>
      <c r="V372" s="232"/>
    </row>
    <row r="373" spans="1:22" ht="15" hidden="1">
      <c r="A373" s="191" t="str">
        <f>IF(N369="","",N369)</f>
        <v>P37</v>
      </c>
      <c r="B373" s="164" t="s">
        <v>151</v>
      </c>
      <c r="C373" s="165">
        <v>31</v>
      </c>
      <c r="D373" s="165">
        <v>6</v>
      </c>
      <c r="E373" s="166">
        <v>220</v>
      </c>
      <c r="F373" s="193">
        <f>IF($N$358="","",IF($N$358="INDUSTRIAL",IF(OR($D$356="",$D$362=""),"",IF(OR(D373&gt;$D$363,E373&gt;$D$364),"Rev. Total. abona.",IF(D373="",IF(E373="","",E373/(0.92*1000)),IF(OR($D$356="SAN CRISTOBAL",$D$356="FLOREANA"),VLOOKUP(D373,'Estratos SCY - FLO'!$A$4:$M$108,IF($D$362="A1",2,IF($D$362="A",5,IF($D$362="B",8,11))))+E373/(0.92*1000),VLOOKUP(D373,'Estratos SCX - ISA'!$A$3:$M$107,IF($D$362="A1",2,IF($D$362="A",5,IF($D$362="B",8,11))))+E373/(0.92*1000))))),IF(OR($D$356="",$D$362=""),"",IF(OR(D373&gt;$D$363,E373&gt;$D$364),"Rev. Total. abona.",IF(D373="",IF(E373="","",E373/(0.92*1000)),IF(OR($D$356="SAN CRISTOBAL",$D$356="FLOREANA"),VLOOKUP(D373,'Estratos SCY - FLO'!$O$4:$S$108,IF($D$362="A1",2,IF($D$362="A",3,IF($D$362="B",4,5))))+E373/(0.92*1000),VLOOKUP(D373,'Estratos SCX - ISA'!$O$4:$S$108,IF($D$362="A1",2,IF($D$362="A",3,IF($D$362="B",4,5))))+E373/(0.92*1000)))))))</f>
        <v>41.7033663773777</v>
      </c>
      <c r="G373" s="95">
        <f>IF(OR($N$10="",C373=""),"",IF($N$10="1F",1,3))</f>
        <v>1</v>
      </c>
      <c r="H373" s="182" t="s">
        <v>0</v>
      </c>
      <c r="I373" s="182" t="s">
        <v>0</v>
      </c>
      <c r="J373" s="95">
        <f>IF(OR(H373="",$D$10="",$N$10=""),"",IF($D$10="COBRE",VLOOKUP(CDV_PROY_BT!H373,FDV!$B$16:$E$24,IF(CDV_PROY_BT!$N$10="3F",3,4),FALSE),IF($D$10="ACS",VLOOKUP(CDV_PROY_BT!H373,FDV!$B$10:$E$15,IF(CDV_PROY_BT!$N$10="3F",3,4),FALSE),IF($D$10="5005 (PREENSAMBLADO)",VLOOKUP(CDV_PROY_BT!H373,FDV!$B$4:$E$9,IF(CDV_PROY_BT!$N$10="3F",3,4),FALSE),VLOOKUP(CDV_PROY_BT!H373,FDV!$B$25:$E$30,IF(CDV_PROY_BT!$N$10="3F",3,4),FALSE)))))</f>
        <v>412</v>
      </c>
      <c r="K373" s="60">
        <f aca="true" t="shared" si="52" ref="K373:K400">IF(C373="","",ROUND(F373*C373,0))</f>
        <v>1293</v>
      </c>
      <c r="L373" s="61">
        <f>IF($N$19="","",IF(C373="","",ROUND(K373/J373,2)))</f>
        <v>3.14</v>
      </c>
      <c r="M373" s="61">
        <f>IF(C373="","",VLOOKUP(A373,$B$373:$N$400,12,FALSE)+L373+N368)</f>
        <v>3.14</v>
      </c>
      <c r="N373" s="154"/>
      <c r="U373" s="138">
        <f>+IF(C373="",0,C373)</f>
        <v>31</v>
      </c>
      <c r="V373" s="138">
        <f>IF(OR(C373="",G373=""),0,C373*G373)</f>
        <v>31</v>
      </c>
    </row>
    <row r="374" spans="1:22" ht="15" hidden="1">
      <c r="A374" s="167" t="s">
        <v>151</v>
      </c>
      <c r="B374" s="168" t="s">
        <v>155</v>
      </c>
      <c r="C374" s="169">
        <v>31</v>
      </c>
      <c r="D374" s="169">
        <v>3</v>
      </c>
      <c r="E374" s="170">
        <v>110</v>
      </c>
      <c r="F374" s="62">
        <f>IF($N$358="","",IF($N$358="INDUSTRIAL",IF(OR($D$356="",$D$362=""),"",IF(OR(D374&gt;$D$363,E374&gt;$D$364),"Rev. Total. abona.",IF(D374="",IF(E374="","",E374/(0.92*1000)),IF(OR($D$356="SAN CRISTOBAL",$D$356="FLOREANA"),VLOOKUP(D374,'Estratos SCY - FLO'!$A$4:$M$108,IF($D$362="A1",2,IF($D$362="A",5,IF($D$362="B",8,11))))+E374/(0.92*1000),VLOOKUP(D374,'Estratos SCX - ISA'!$A$3:$M$107,IF($D$362="A1",2,IF($D$362="A",5,IF($D$362="B",8,11))))+E374/(0.92*1000))))),IF(OR($D$356="",$D$362=""),"",IF(OR(D374&gt;$D$363,E374&gt;$D$364),"Rev. Total. abona.",IF(D374="",IF(E374="","",E374/(0.92*1000)),IF(OR($D$356="SAN CRISTOBAL",$D$356="FLOREANA"),VLOOKUP(D374,'Estratos SCY - FLO'!$O$4:$S$108,IF($D$362="A1",2,IF($D$362="A",3,IF($D$362="B",4,5))))+E374/(0.92*1000),VLOOKUP(D374,'Estratos SCX - ISA'!$O$4:$S$108,IF($D$362="A1",2,IF($D$362="A",3,IF($D$362="B",4,5))))+E374/(0.92*1000)))))))</f>
        <v>22.186213405145857</v>
      </c>
      <c r="G374" s="59">
        <f aca="true" t="shared" si="53" ref="G374:G400">IF(OR($N$10="",C374=""),"",IF($N$10="1F",1,3))</f>
        <v>1</v>
      </c>
      <c r="H374" s="183" t="s">
        <v>0</v>
      </c>
      <c r="I374" s="183" t="s">
        <v>0</v>
      </c>
      <c r="J374" s="59">
        <f>IF(OR(H374="",$D$10="",$N$10=""),"",IF($D$10="COBRE",VLOOKUP(CDV_PROY_BT!H374,FDV!$B$16:$E$24,IF(CDV_PROY_BT!$N$10="3F",3,4),FALSE),IF($D$10="ACS",VLOOKUP(CDV_PROY_BT!H374,FDV!$B$10:$E$15,IF(CDV_PROY_BT!$N$10="3F",3,4),FALSE),IF($D$10="5005 (PREENSAMBLADO)",VLOOKUP(CDV_PROY_BT!H374,FDV!$B$4:$E$9,IF(CDV_PROY_BT!$N$10="3F",3,4),FALSE),VLOOKUP(CDV_PROY_BT!H374,FDV!$B$25:$E$30,IF(CDV_PROY_BT!$N$10="3F",3,4),FALSE)))))</f>
        <v>412</v>
      </c>
      <c r="K374" s="63">
        <f t="shared" si="52"/>
        <v>688</v>
      </c>
      <c r="L374" s="62">
        <f aca="true" t="shared" si="54" ref="L374:L399">IF($N$19="","",IF(C374="","",ROUND(K374/J374,2)))</f>
        <v>1.67</v>
      </c>
      <c r="M374" s="62">
        <f aca="true" t="shared" si="55" ref="M374:M399">IF(C374="","",VLOOKUP(A374,$B$373:$N$400,12,FALSE)+L374)</f>
        <v>4.8100000000000005</v>
      </c>
      <c r="N374" s="155">
        <f>+M374</f>
        <v>4.8100000000000005</v>
      </c>
      <c r="U374" s="138">
        <f aca="true" t="shared" si="56" ref="U374:U399">+IF(C374="",0,C374)</f>
        <v>31</v>
      </c>
      <c r="V374" s="138">
        <f aca="true" t="shared" si="57" ref="V374:V399">IF(OR(C374="",G374=""),0,C374*G374)</f>
        <v>31</v>
      </c>
    </row>
    <row r="375" spans="1:22" ht="15" hidden="1">
      <c r="A375" s="167" t="s">
        <v>150</v>
      </c>
      <c r="B375" s="168" t="s">
        <v>149</v>
      </c>
      <c r="C375" s="169">
        <v>31</v>
      </c>
      <c r="D375" s="169">
        <v>4</v>
      </c>
      <c r="E375" s="170">
        <v>220</v>
      </c>
      <c r="F375" s="58">
        <f>IF($N$358="","",IF($N$358="INDUSTRIAL",IF(OR($D$356="",$D$362=""),"",IF(OR(D375&gt;$D$363,E375&gt;$D$364),"Rev. Total. abona.",IF(D375="",IF(E375="","",E375/(0.92*1000)),IF(OR($D$356="SAN CRISTOBAL",$D$356="FLOREANA"),VLOOKUP(D375,'Estratos SCY - FLO'!$A$4:$M$108,IF($D$362="A1",2,IF($D$362="A",5,IF($D$362="B",8,11))))+E375/(0.92*1000),VLOOKUP(D375,'Estratos SCX - ISA'!$A$3:$M$107,IF($D$362="A1",2,IF($D$362="A",5,IF($D$362="B",8,11))))+E375/(0.92*1000))))),IF(OR($D$356="",$D$362=""),"",IF(OR(D375&gt;$D$363,E375&gt;$D$364),"Rev. Total. abona.",IF(D375="",IF(E375="","",E375/(0.92*1000)),IF(OR($D$356="SAN CRISTOBAL",$D$356="FLOREANA"),VLOOKUP(D375,'Estratos SCY - FLO'!$O$4:$S$108,IF($D$362="A1",2,IF($D$362="A",3,IF($D$362="B",4,5))))+E375/(0.92*1000),VLOOKUP(D375,'Estratos SCX - ISA'!$O$4:$S$108,IF($D$362="A1",2,IF($D$362="A",3,IF($D$362="B",4,5))))+E375/(0.92*1000)))))))</f>
        <v>28.909323754303077</v>
      </c>
      <c r="G375" s="59">
        <f t="shared" si="53"/>
        <v>1</v>
      </c>
      <c r="H375" s="183" t="s">
        <v>0</v>
      </c>
      <c r="I375" s="183" t="s">
        <v>0</v>
      </c>
      <c r="J375" s="59">
        <f>IF(OR(H375="",$D$10="",$N$10=""),"",IF($D$10="COBRE",VLOOKUP(CDV_PROY_BT!H375,FDV!$B$16:$E$24,IF(CDV_PROY_BT!$N$10="3F",3,4),FALSE),IF($D$10="ACS",VLOOKUP(CDV_PROY_BT!H375,FDV!$B$10:$E$15,IF(CDV_PROY_BT!$N$10="3F",3,4),FALSE),IF($D$10="5005 (PREENSAMBLADO)",VLOOKUP(CDV_PROY_BT!H375,FDV!$B$4:$E$9,IF(CDV_PROY_BT!$N$10="3F",3,4),FALSE),VLOOKUP(CDV_PROY_BT!H375,FDV!$B$25:$E$30,IF(CDV_PROY_BT!$N$10="3F",3,4),FALSE)))))</f>
        <v>412</v>
      </c>
      <c r="K375" s="63">
        <f t="shared" si="52"/>
        <v>896</v>
      </c>
      <c r="L375" s="62">
        <f t="shared" si="54"/>
        <v>2.17</v>
      </c>
      <c r="M375" s="62">
        <f t="shared" si="55"/>
        <v>2.17</v>
      </c>
      <c r="N375" s="155"/>
      <c r="U375" s="138">
        <f t="shared" si="56"/>
        <v>31</v>
      </c>
      <c r="V375" s="138">
        <f t="shared" si="57"/>
        <v>31</v>
      </c>
    </row>
    <row r="376" spans="1:22" ht="15" hidden="1">
      <c r="A376" s="167" t="s">
        <v>149</v>
      </c>
      <c r="B376" s="168" t="s">
        <v>152</v>
      </c>
      <c r="C376" s="169">
        <v>31</v>
      </c>
      <c r="D376" s="169">
        <v>3</v>
      </c>
      <c r="E376" s="170">
        <v>110</v>
      </c>
      <c r="F376" s="58">
        <f>IF($N$358="","",IF($N$358="INDUSTRIAL",IF(OR($D$356="",$D$362=""),"",IF(OR(D376&gt;$D$363,E376&gt;$D$364),"Rev. Total. abona.",IF(D376="",IF(E376="","",E376/(0.92*1000)),IF(OR($D$356="SAN CRISTOBAL",$D$356="FLOREANA"),VLOOKUP(D376,'Estratos SCY - FLO'!$A$4:$M$108,IF($D$362="A1",2,IF($D$362="A",5,IF($D$362="B",8,11))))+E376/(0.92*1000),VLOOKUP(D376,'Estratos SCX - ISA'!$A$3:$M$107,IF($D$362="A1",2,IF($D$362="A",5,IF($D$362="B",8,11))))+E376/(0.92*1000))))),IF(OR($D$356="",$D$362=""),"",IF(OR(D376&gt;$D$363,E376&gt;$D$364),"Rev. Total. abona.",IF(D376="",IF(E376="","",E376/(0.92*1000)),IF(OR($D$356="SAN CRISTOBAL",$D$356="FLOREANA"),VLOOKUP(D376,'Estratos SCY - FLO'!$O$4:$S$108,IF($D$362="A1",2,IF($D$362="A",3,IF($D$362="B",4,5))))+E376/(0.92*1000),VLOOKUP(D376,'Estratos SCX - ISA'!$O$4:$S$108,IF($D$362="A1",2,IF($D$362="A",3,IF($D$362="B",4,5))))+E376/(0.92*1000)))))))</f>
        <v>22.186213405145857</v>
      </c>
      <c r="G376" s="59">
        <f t="shared" si="53"/>
        <v>1</v>
      </c>
      <c r="H376" s="183" t="s">
        <v>0</v>
      </c>
      <c r="I376" s="183" t="s">
        <v>0</v>
      </c>
      <c r="J376" s="59">
        <f>IF(OR(H376="",$D$10="",$N$10=""),"",IF($D$10="COBRE",VLOOKUP(CDV_PROY_BT!H376,FDV!$B$16:$E$24,IF(CDV_PROY_BT!$N$10="3F",3,4),FALSE),IF($D$10="ACS",VLOOKUP(CDV_PROY_BT!H376,FDV!$B$10:$E$15,IF(CDV_PROY_BT!$N$10="3F",3,4),FALSE),IF($D$10="5005 (PREENSAMBLADO)",VLOOKUP(CDV_PROY_BT!H376,FDV!$B$4:$E$9,IF(CDV_PROY_BT!$N$10="3F",3,4),FALSE),VLOOKUP(CDV_PROY_BT!H376,FDV!$B$25:$E$30,IF(CDV_PROY_BT!$N$10="3F",3,4),FALSE)))))</f>
        <v>412</v>
      </c>
      <c r="K376" s="63">
        <f t="shared" si="52"/>
        <v>688</v>
      </c>
      <c r="L376" s="62">
        <f t="shared" si="54"/>
        <v>1.67</v>
      </c>
      <c r="M376" s="62">
        <f t="shared" si="55"/>
        <v>3.84</v>
      </c>
      <c r="N376" s="155">
        <f>+M376</f>
        <v>3.84</v>
      </c>
      <c r="U376" s="138">
        <f t="shared" si="56"/>
        <v>31</v>
      </c>
      <c r="V376" s="138">
        <f t="shared" si="57"/>
        <v>31</v>
      </c>
    </row>
    <row r="377" spans="1:22" ht="15" hidden="1">
      <c r="A377" s="167"/>
      <c r="B377" s="168"/>
      <c r="C377" s="169"/>
      <c r="D377" s="169"/>
      <c r="E377" s="170"/>
      <c r="F377" s="58" t="str">
        <f>IF($N$358="","",IF($N$358="INDUSTRIAL",IF(OR($D$356="",$D$362=""),"",IF(OR(D377&gt;$D$363,E377&gt;$D$364),"Rev. Total. abona.",IF(D377="",IF(E377="","",E377/(0.92*1000)),IF(OR($D$356="SAN CRISTOBAL",$D$356="FLOREANA"),VLOOKUP(D377,'Estratos SCY - FLO'!$A$4:$M$108,IF($D$362="A1",2,IF($D$362="A",5,IF($D$362="B",8,11))))+E377/(0.92*1000),VLOOKUP(D377,'Estratos SCX - ISA'!$A$3:$M$107,IF($D$362="A1",2,IF($D$362="A",5,IF($D$362="B",8,11))))+E377/(0.92*1000))))),IF(OR($D$356="",$D$362=""),"",IF(OR(D377&gt;$D$363,E377&gt;$D$364),"Rev. Total. abona.",IF(D377="",IF(E377="","",E377/(0.92*1000)),IF(OR($D$356="SAN CRISTOBAL",$D$356="FLOREANA"),VLOOKUP(D377,'Estratos SCY - FLO'!$O$4:$S$108,IF($D$362="A1",2,IF($D$362="A",3,IF($D$362="B",4,5))))+E377/(0.92*1000),VLOOKUP(D377,'Estratos SCX - ISA'!$O$4:$S$108,IF($D$362="A1",2,IF($D$362="A",3,IF($D$362="B",4,5))))+E377/(0.92*1000)))))))</f>
        <v/>
      </c>
      <c r="G377" s="59" t="str">
        <f t="shared" si="53"/>
        <v/>
      </c>
      <c r="H377" s="183"/>
      <c r="I377" s="183"/>
      <c r="J377" s="59" t="str">
        <f>IF(OR(H377="",$D$10="",$N$10=""),"",IF($D$10="COBRE",VLOOKUP(CDV_PROY_BT!H377,FDV!$B$16:$E$24,IF(CDV_PROY_BT!$N$10="3F",3,4),FALSE),IF($D$10="ACS",VLOOKUP(CDV_PROY_BT!H377,FDV!$B$10:$E$15,IF(CDV_PROY_BT!$N$10="3F",3,4),FALSE),IF($D$10="5005 (PREENSAMBLADO)",VLOOKUP(CDV_PROY_BT!H377,FDV!$B$4:$E$9,IF(CDV_PROY_BT!$N$10="3F",3,4),FALSE),VLOOKUP(CDV_PROY_BT!H377,FDV!$B$25:$E$30,IF(CDV_PROY_BT!$N$10="3F",3,4),FALSE)))))</f>
        <v/>
      </c>
      <c r="K377" s="63" t="str">
        <f t="shared" si="52"/>
        <v/>
      </c>
      <c r="L377" s="62" t="str">
        <f t="shared" si="54"/>
        <v/>
      </c>
      <c r="M377" s="62" t="str">
        <f t="shared" si="55"/>
        <v/>
      </c>
      <c r="N377" s="155"/>
      <c r="U377" s="138">
        <f t="shared" si="56"/>
        <v>0</v>
      </c>
      <c r="V377" s="138">
        <f t="shared" si="57"/>
        <v>0</v>
      </c>
    </row>
    <row r="378" spans="1:22" ht="15" hidden="1">
      <c r="A378" s="167"/>
      <c r="B378" s="168"/>
      <c r="C378" s="169"/>
      <c r="D378" s="169"/>
      <c r="E378" s="170"/>
      <c r="F378" s="58" t="str">
        <f>IF($N$358="","",IF($N$358="INDUSTRIAL",IF(OR($D$356="",$D$362=""),"",IF(OR(D378&gt;$D$363,E378&gt;$D$364),"Rev. Total. abona.",IF(D378="",IF(E378="","",E378/(0.92*1000)),IF(OR($D$356="SAN CRISTOBAL",$D$356="FLOREANA"),VLOOKUP(D378,'Estratos SCY - FLO'!$A$4:$M$108,IF($D$362="A1",2,IF($D$362="A",5,IF($D$362="B",8,11))))+E378/(0.92*1000),VLOOKUP(D378,'Estratos SCX - ISA'!$A$3:$M$107,IF($D$362="A1",2,IF($D$362="A",5,IF($D$362="B",8,11))))+E378/(0.92*1000))))),IF(OR($D$356="",$D$362=""),"",IF(OR(D378&gt;$D$363,E378&gt;$D$364),"Rev. Total. abona.",IF(D378="",IF(E378="","",E378/(0.92*1000)),IF(OR($D$356="SAN CRISTOBAL",$D$356="FLOREANA"),VLOOKUP(D378,'Estratos SCY - FLO'!$O$4:$S$108,IF($D$362="A1",2,IF($D$362="A",3,IF($D$362="B",4,5))))+E378/(0.92*1000),VLOOKUP(D378,'Estratos SCX - ISA'!$O$4:$S$108,IF($D$362="A1",2,IF($D$362="A",3,IF($D$362="B",4,5))))+E378/(0.92*1000)))))))</f>
        <v/>
      </c>
      <c r="G378" s="59" t="str">
        <f t="shared" si="53"/>
        <v/>
      </c>
      <c r="H378" s="183"/>
      <c r="I378" s="183"/>
      <c r="J378" s="59" t="str">
        <f>IF(OR(H378="",$D$10="",$N$10=""),"",IF($D$10="COBRE",VLOOKUP(CDV_PROY_BT!H378,FDV!$B$16:$E$24,IF(CDV_PROY_BT!$N$10="3F",3,4),FALSE),IF($D$10="ACS",VLOOKUP(CDV_PROY_BT!H378,FDV!$B$10:$E$15,IF(CDV_PROY_BT!$N$10="3F",3,4),FALSE),IF($D$10="5005 (PREENSAMBLADO)",VLOOKUP(CDV_PROY_BT!H378,FDV!$B$4:$E$9,IF(CDV_PROY_BT!$N$10="3F",3,4),FALSE),VLOOKUP(CDV_PROY_BT!H378,FDV!$B$25:$E$30,IF(CDV_PROY_BT!$N$10="3F",3,4),FALSE)))))</f>
        <v/>
      </c>
      <c r="K378" s="63" t="str">
        <f t="shared" si="52"/>
        <v/>
      </c>
      <c r="L378" s="62" t="str">
        <f t="shared" si="54"/>
        <v/>
      </c>
      <c r="M378" s="62" t="str">
        <f t="shared" si="55"/>
        <v/>
      </c>
      <c r="N378" s="155"/>
      <c r="U378" s="138">
        <f t="shared" si="56"/>
        <v>0</v>
      </c>
      <c r="V378" s="138">
        <f t="shared" si="57"/>
        <v>0</v>
      </c>
    </row>
    <row r="379" spans="1:22" ht="15" hidden="1">
      <c r="A379" s="167"/>
      <c r="B379" s="168"/>
      <c r="C379" s="169"/>
      <c r="D379" s="169"/>
      <c r="E379" s="170"/>
      <c r="F379" s="58" t="str">
        <f>IF($N$358="","",IF($N$358="INDUSTRIAL",IF(OR($D$356="",$D$362=""),"",IF(OR(D379&gt;$D$363,E379&gt;$D$364),"Rev. Total. abona.",IF(D379="",IF(E379="","",E379/(0.92*1000)),IF(OR($D$356="SAN CRISTOBAL",$D$356="FLOREANA"),VLOOKUP(D379,'Estratos SCY - FLO'!$A$4:$M$108,IF($D$362="A1",2,IF($D$362="A",5,IF($D$362="B",8,11))))+E379/(0.92*1000),VLOOKUP(D379,'Estratos SCX - ISA'!$A$3:$M$107,IF($D$362="A1",2,IF($D$362="A",5,IF($D$362="B",8,11))))+E379/(0.92*1000))))),IF(OR($D$356="",$D$362=""),"",IF(OR(D379&gt;$D$363,E379&gt;$D$364),"Rev. Total. abona.",IF(D379="",IF(E379="","",E379/(0.92*1000)),IF(OR($D$356="SAN CRISTOBAL",$D$356="FLOREANA"),VLOOKUP(D379,'Estratos SCY - FLO'!$O$4:$S$108,IF($D$362="A1",2,IF($D$362="A",3,IF($D$362="B",4,5))))+E379/(0.92*1000),VLOOKUP(D379,'Estratos SCX - ISA'!$O$4:$S$108,IF($D$362="A1",2,IF($D$362="A",3,IF($D$362="B",4,5))))+E379/(0.92*1000)))))))</f>
        <v/>
      </c>
      <c r="G379" s="59" t="str">
        <f t="shared" si="53"/>
        <v/>
      </c>
      <c r="H379" s="183"/>
      <c r="I379" s="183"/>
      <c r="J379" s="59" t="str">
        <f>IF(OR(H379="",$D$10="",$N$10=""),"",IF($D$10="COBRE",VLOOKUP(CDV_PROY_BT!H379,FDV!$B$16:$E$24,IF(CDV_PROY_BT!$N$10="3F",3,4),FALSE),IF($D$10="ACS",VLOOKUP(CDV_PROY_BT!H379,FDV!$B$10:$E$15,IF(CDV_PROY_BT!$N$10="3F",3,4),FALSE),IF($D$10="5005 (PREENSAMBLADO)",VLOOKUP(CDV_PROY_BT!H379,FDV!$B$4:$E$9,IF(CDV_PROY_BT!$N$10="3F",3,4),FALSE),VLOOKUP(CDV_PROY_BT!H379,FDV!$B$25:$E$30,IF(CDV_PROY_BT!$N$10="3F",3,4),FALSE)))))</f>
        <v/>
      </c>
      <c r="K379" s="63" t="str">
        <f t="shared" si="52"/>
        <v/>
      </c>
      <c r="L379" s="62" t="str">
        <f t="shared" si="54"/>
        <v/>
      </c>
      <c r="M379" s="62" t="str">
        <f t="shared" si="55"/>
        <v/>
      </c>
      <c r="N379" s="155"/>
      <c r="U379" s="138">
        <f t="shared" si="56"/>
        <v>0</v>
      </c>
      <c r="V379" s="138">
        <f t="shared" si="57"/>
        <v>0</v>
      </c>
    </row>
    <row r="380" spans="1:22" ht="15" hidden="1">
      <c r="A380" s="167"/>
      <c r="B380" s="168"/>
      <c r="C380" s="169"/>
      <c r="D380" s="169"/>
      <c r="E380" s="170"/>
      <c r="F380" s="58" t="str">
        <f>IF($N$358="","",IF($N$358="INDUSTRIAL",IF(OR($D$356="",$D$362=""),"",IF(OR(D380&gt;$D$363,E380&gt;$D$364),"Rev. Total. abona.",IF(D380="",IF(E380="","",E380/(0.92*1000)),IF(OR($D$356="SAN CRISTOBAL",$D$356="FLOREANA"),VLOOKUP(D380,'Estratos SCY - FLO'!$A$4:$M$108,IF($D$362="A1",2,IF($D$362="A",5,IF($D$362="B",8,11))))+E380/(0.92*1000),VLOOKUP(D380,'Estratos SCX - ISA'!$A$3:$M$107,IF($D$362="A1",2,IF($D$362="A",5,IF($D$362="B",8,11))))+E380/(0.92*1000))))),IF(OR($D$356="",$D$362=""),"",IF(OR(D380&gt;$D$363,E380&gt;$D$364),"Rev. Total. abona.",IF(D380="",IF(E380="","",E380/(0.92*1000)),IF(OR($D$356="SAN CRISTOBAL",$D$356="FLOREANA"),VLOOKUP(D380,'Estratos SCY - FLO'!$O$4:$S$108,IF($D$362="A1",2,IF($D$362="A",3,IF($D$362="B",4,5))))+E380/(0.92*1000),VLOOKUP(D380,'Estratos SCX - ISA'!$O$4:$S$108,IF($D$362="A1",2,IF($D$362="A",3,IF($D$362="B",4,5))))+E380/(0.92*1000)))))))</f>
        <v/>
      </c>
      <c r="G380" s="59" t="str">
        <f t="shared" si="53"/>
        <v/>
      </c>
      <c r="H380" s="183"/>
      <c r="I380" s="183"/>
      <c r="J380" s="59" t="str">
        <f>IF(OR(H380="",$D$10="",$N$10=""),"",IF($D$10="COBRE",VLOOKUP(CDV_PROY_BT!H380,FDV!$B$16:$E$24,IF(CDV_PROY_BT!$N$10="3F",3,4),FALSE),IF($D$10="ACS",VLOOKUP(CDV_PROY_BT!H380,FDV!$B$10:$E$15,IF(CDV_PROY_BT!$N$10="3F",3,4),FALSE),IF($D$10="5005 (PREENSAMBLADO)",VLOOKUP(CDV_PROY_BT!H380,FDV!$B$4:$E$9,IF(CDV_PROY_BT!$N$10="3F",3,4),FALSE),VLOOKUP(CDV_PROY_BT!H380,FDV!$B$25:$E$30,IF(CDV_PROY_BT!$N$10="3F",3,4),FALSE)))))</f>
        <v/>
      </c>
      <c r="K380" s="63" t="str">
        <f t="shared" si="52"/>
        <v/>
      </c>
      <c r="L380" s="62" t="str">
        <f t="shared" si="54"/>
        <v/>
      </c>
      <c r="M380" s="62" t="str">
        <f t="shared" si="55"/>
        <v/>
      </c>
      <c r="N380" s="155"/>
      <c r="U380" s="138">
        <f t="shared" si="56"/>
        <v>0</v>
      </c>
      <c r="V380" s="138">
        <f t="shared" si="57"/>
        <v>0</v>
      </c>
    </row>
    <row r="381" spans="1:22" ht="15" hidden="1">
      <c r="A381" s="171"/>
      <c r="B381" s="172"/>
      <c r="C381" s="173"/>
      <c r="D381" s="173"/>
      <c r="E381" s="170"/>
      <c r="F381" s="58" t="str">
        <f>IF($N$358="","",IF($N$358="INDUSTRIAL",IF(OR($D$356="",$D$362=""),"",IF(OR(D381&gt;$D$363,E381&gt;$D$364),"Rev. Total. abona.",IF(D381="",IF(E381="","",E381/(0.92*1000)),IF(OR($D$356="SAN CRISTOBAL",$D$356="FLOREANA"),VLOOKUP(D381,'Estratos SCY - FLO'!$A$4:$M$108,IF($D$362="A1",2,IF($D$362="A",5,IF($D$362="B",8,11))))+E381/(0.92*1000),VLOOKUP(D381,'Estratos SCX - ISA'!$A$3:$M$107,IF($D$362="A1",2,IF($D$362="A",5,IF($D$362="B",8,11))))+E381/(0.92*1000))))),IF(OR($D$356="",$D$362=""),"",IF(OR(D381&gt;$D$363,E381&gt;$D$364),"Rev. Total. abona.",IF(D381="",IF(E381="","",E381/(0.92*1000)),IF(OR($D$356="SAN CRISTOBAL",$D$356="FLOREANA"),VLOOKUP(D381,'Estratos SCY - FLO'!$O$4:$S$108,IF($D$362="A1",2,IF($D$362="A",3,IF($D$362="B",4,5))))+E381/(0.92*1000),VLOOKUP(D381,'Estratos SCX - ISA'!$O$4:$S$108,IF($D$362="A1",2,IF($D$362="A",3,IF($D$362="B",4,5))))+E381/(0.92*1000)))))))</f>
        <v/>
      </c>
      <c r="G381" s="59" t="str">
        <f t="shared" si="53"/>
        <v/>
      </c>
      <c r="H381" s="183"/>
      <c r="I381" s="183"/>
      <c r="J381" s="59" t="str">
        <f>IF(OR(H381="",$D$10="",$N$10=""),"",IF($D$10="COBRE",VLOOKUP(CDV_PROY_BT!H381,FDV!$B$16:$E$24,IF(CDV_PROY_BT!$N$10="3F",3,4),FALSE),IF($D$10="ACS",VLOOKUP(CDV_PROY_BT!H381,FDV!$B$10:$E$15,IF(CDV_PROY_BT!$N$10="3F",3,4),FALSE),IF($D$10="5005 (PREENSAMBLADO)",VLOOKUP(CDV_PROY_BT!H381,FDV!$B$4:$E$9,IF(CDV_PROY_BT!$N$10="3F",3,4),FALSE),VLOOKUP(CDV_PROY_BT!H381,FDV!$B$25:$E$30,IF(CDV_PROY_BT!$N$10="3F",3,4),FALSE)))))</f>
        <v/>
      </c>
      <c r="K381" s="63" t="str">
        <f t="shared" si="52"/>
        <v/>
      </c>
      <c r="L381" s="62" t="str">
        <f t="shared" si="54"/>
        <v/>
      </c>
      <c r="M381" s="62" t="str">
        <f t="shared" si="55"/>
        <v/>
      </c>
      <c r="N381" s="155"/>
      <c r="U381" s="138">
        <f t="shared" si="56"/>
        <v>0</v>
      </c>
      <c r="V381" s="138">
        <f t="shared" si="57"/>
        <v>0</v>
      </c>
    </row>
    <row r="382" spans="1:22" ht="15" hidden="1">
      <c r="A382" s="167"/>
      <c r="B382" s="168"/>
      <c r="C382" s="169"/>
      <c r="D382" s="169"/>
      <c r="E382" s="174"/>
      <c r="F382" s="58" t="str">
        <f>IF($N$358="","",IF($N$358="INDUSTRIAL",IF(OR($D$356="",$D$362=""),"",IF(OR(D382&gt;$D$363,E382&gt;$D$364),"Rev. Total. abona.",IF(D382="",IF(E382="","",E382/(0.92*1000)),IF(OR($D$356="SAN CRISTOBAL",$D$356="FLOREANA"),VLOOKUP(D382,'Estratos SCY - FLO'!$A$4:$M$108,IF($D$362="A1",2,IF($D$362="A",5,IF($D$362="B",8,11))))+E382/(0.92*1000),VLOOKUP(D382,'Estratos SCX - ISA'!$A$3:$M$107,IF($D$362="A1",2,IF($D$362="A",5,IF($D$362="B",8,11))))+E382/(0.92*1000))))),IF(OR($D$356="",$D$362=""),"",IF(OR(D382&gt;$D$363,E382&gt;$D$364),"Rev. Total. abona.",IF(D382="",IF(E382="","",E382/(0.92*1000)),IF(OR($D$356="SAN CRISTOBAL",$D$356="FLOREANA"),VLOOKUP(D382,'Estratos SCY - FLO'!$O$4:$S$108,IF($D$362="A1",2,IF($D$362="A",3,IF($D$362="B",4,5))))+E382/(0.92*1000),VLOOKUP(D382,'Estratos SCX - ISA'!$O$4:$S$108,IF($D$362="A1",2,IF($D$362="A",3,IF($D$362="B",4,5))))+E382/(0.92*1000)))))))</f>
        <v/>
      </c>
      <c r="G382" s="59" t="str">
        <f t="shared" si="53"/>
        <v/>
      </c>
      <c r="H382" s="183"/>
      <c r="I382" s="183"/>
      <c r="J382" s="59" t="str">
        <f>IF(OR(H382="",$D$10="",$N$10=""),"",IF($D$10="COBRE",VLOOKUP(CDV_PROY_BT!H382,FDV!$B$16:$E$24,IF(CDV_PROY_BT!$N$10="3F",3,4),FALSE),IF($D$10="ACS",VLOOKUP(CDV_PROY_BT!H382,FDV!$B$10:$E$15,IF(CDV_PROY_BT!$N$10="3F",3,4),FALSE),IF($D$10="5005 (PREENSAMBLADO)",VLOOKUP(CDV_PROY_BT!H382,FDV!$B$4:$E$9,IF(CDV_PROY_BT!$N$10="3F",3,4),FALSE),VLOOKUP(CDV_PROY_BT!H382,FDV!$B$25:$E$30,IF(CDV_PROY_BT!$N$10="3F",3,4),FALSE)))))</f>
        <v/>
      </c>
      <c r="K382" s="63" t="str">
        <f t="shared" si="52"/>
        <v/>
      </c>
      <c r="L382" s="62" t="str">
        <f t="shared" si="54"/>
        <v/>
      </c>
      <c r="M382" s="62" t="str">
        <f t="shared" si="55"/>
        <v/>
      </c>
      <c r="N382" s="155"/>
      <c r="U382" s="138">
        <f t="shared" si="56"/>
        <v>0</v>
      </c>
      <c r="V382" s="138">
        <f t="shared" si="57"/>
        <v>0</v>
      </c>
    </row>
    <row r="383" spans="1:22" ht="15" hidden="1">
      <c r="A383" s="175"/>
      <c r="B383" s="176"/>
      <c r="C383" s="177"/>
      <c r="D383" s="177"/>
      <c r="E383" s="170"/>
      <c r="F383" s="58" t="str">
        <f>IF($N$358="","",IF($N$358="INDUSTRIAL",IF(OR($D$356="",$D$362=""),"",IF(OR(D383&gt;$D$363,E383&gt;$D$364),"Rev. Total. abona.",IF(D383="",IF(E383="","",E383/(0.92*1000)),IF(OR($D$356="SAN CRISTOBAL",$D$356="FLOREANA"),VLOOKUP(D383,'Estratos SCY - FLO'!$A$4:$M$108,IF($D$362="A1",2,IF($D$362="A",5,IF($D$362="B",8,11))))+E383/(0.92*1000),VLOOKUP(D383,'Estratos SCX - ISA'!$A$3:$M$107,IF($D$362="A1",2,IF($D$362="A",5,IF($D$362="B",8,11))))+E383/(0.92*1000))))),IF(OR($D$356="",$D$362=""),"",IF(OR(D383&gt;$D$363,E383&gt;$D$364),"Rev. Total. abona.",IF(D383="",IF(E383="","",E383/(0.92*1000)),IF(OR($D$356="SAN CRISTOBAL",$D$356="FLOREANA"),VLOOKUP(D383,'Estratos SCY - FLO'!$O$4:$S$108,IF($D$362="A1",2,IF($D$362="A",3,IF($D$362="B",4,5))))+E383/(0.92*1000),VLOOKUP(D383,'Estratos SCX - ISA'!$O$4:$S$108,IF($D$362="A1",2,IF($D$362="A",3,IF($D$362="B",4,5))))+E383/(0.92*1000)))))))</f>
        <v/>
      </c>
      <c r="G383" s="59" t="str">
        <f t="shared" si="53"/>
        <v/>
      </c>
      <c r="H383" s="183"/>
      <c r="I383" s="183"/>
      <c r="J383" s="59" t="str">
        <f>IF(OR(H383="",$D$10="",$N$10=""),"",IF($D$10="COBRE",VLOOKUP(CDV_PROY_BT!H383,FDV!$B$16:$E$24,IF(CDV_PROY_BT!$N$10="3F",3,4),FALSE),IF($D$10="ACS",VLOOKUP(CDV_PROY_BT!H383,FDV!$B$10:$E$15,IF(CDV_PROY_BT!$N$10="3F",3,4),FALSE),IF($D$10="5005 (PREENSAMBLADO)",VLOOKUP(CDV_PROY_BT!H383,FDV!$B$4:$E$9,IF(CDV_PROY_BT!$N$10="3F",3,4),FALSE),VLOOKUP(CDV_PROY_BT!H383,FDV!$B$25:$E$30,IF(CDV_PROY_BT!$N$10="3F",3,4),FALSE)))))</f>
        <v/>
      </c>
      <c r="K383" s="63" t="str">
        <f t="shared" si="52"/>
        <v/>
      </c>
      <c r="L383" s="62" t="str">
        <f t="shared" si="54"/>
        <v/>
      </c>
      <c r="M383" s="62" t="str">
        <f t="shared" si="55"/>
        <v/>
      </c>
      <c r="N383" s="155"/>
      <c r="U383" s="138">
        <f t="shared" si="56"/>
        <v>0</v>
      </c>
      <c r="V383" s="138">
        <f t="shared" si="57"/>
        <v>0</v>
      </c>
    </row>
    <row r="384" spans="1:22" ht="15" hidden="1">
      <c r="A384" s="167"/>
      <c r="B384" s="168"/>
      <c r="C384" s="169"/>
      <c r="D384" s="169"/>
      <c r="E384" s="170"/>
      <c r="F384" s="58" t="str">
        <f>IF($N$358="","",IF($N$358="INDUSTRIAL",IF(OR($D$356="",$D$362=""),"",IF(OR(D384&gt;$D$363,E384&gt;$D$364),"Rev. Total. abona.",IF(D384="",IF(E384="","",E384/(0.92*1000)),IF(OR($D$356="SAN CRISTOBAL",$D$356="FLOREANA"),VLOOKUP(D384,'Estratos SCY - FLO'!$A$4:$M$108,IF($D$362="A1",2,IF($D$362="A",5,IF($D$362="B",8,11))))+E384/(0.92*1000),VLOOKUP(D384,'Estratos SCX - ISA'!$A$3:$M$107,IF($D$362="A1",2,IF($D$362="A",5,IF($D$362="B",8,11))))+E384/(0.92*1000))))),IF(OR($D$356="",$D$362=""),"",IF(OR(D384&gt;$D$363,E384&gt;$D$364),"Rev. Total. abona.",IF(D384="",IF(E384="","",E384/(0.92*1000)),IF(OR($D$356="SAN CRISTOBAL",$D$356="FLOREANA"),VLOOKUP(D384,'Estratos SCY - FLO'!$O$4:$S$108,IF($D$362="A1",2,IF($D$362="A",3,IF($D$362="B",4,5))))+E384/(0.92*1000),VLOOKUP(D384,'Estratos SCX - ISA'!$O$4:$S$108,IF($D$362="A1",2,IF($D$362="A",3,IF($D$362="B",4,5))))+E384/(0.92*1000)))))))</f>
        <v/>
      </c>
      <c r="G384" s="59" t="str">
        <f t="shared" si="53"/>
        <v/>
      </c>
      <c r="H384" s="183"/>
      <c r="I384" s="183"/>
      <c r="J384" s="59" t="str">
        <f>IF(OR(H384="",$D$10="",$N$10=""),"",IF($D$10="COBRE",VLOOKUP(CDV_PROY_BT!H384,FDV!$B$16:$E$24,IF(CDV_PROY_BT!$N$10="3F",3,4),FALSE),IF($D$10="ACS",VLOOKUP(CDV_PROY_BT!H384,FDV!$B$10:$E$15,IF(CDV_PROY_BT!$N$10="3F",3,4),FALSE),IF($D$10="5005 (PREENSAMBLADO)",VLOOKUP(CDV_PROY_BT!H384,FDV!$B$4:$E$9,IF(CDV_PROY_BT!$N$10="3F",3,4),FALSE),VLOOKUP(CDV_PROY_BT!H384,FDV!$B$25:$E$30,IF(CDV_PROY_BT!$N$10="3F",3,4),FALSE)))))</f>
        <v/>
      </c>
      <c r="K384" s="63" t="str">
        <f t="shared" si="52"/>
        <v/>
      </c>
      <c r="L384" s="62" t="str">
        <f t="shared" si="54"/>
        <v/>
      </c>
      <c r="M384" s="62" t="str">
        <f t="shared" si="55"/>
        <v/>
      </c>
      <c r="N384" s="155"/>
      <c r="U384" s="138">
        <f t="shared" si="56"/>
        <v>0</v>
      </c>
      <c r="V384" s="138">
        <f t="shared" si="57"/>
        <v>0</v>
      </c>
    </row>
    <row r="385" spans="1:22" ht="15" hidden="1">
      <c r="A385" s="167"/>
      <c r="B385" s="168"/>
      <c r="C385" s="169"/>
      <c r="D385" s="169"/>
      <c r="E385" s="170"/>
      <c r="F385" s="58" t="str">
        <f>IF($N$358="","",IF($N$358="INDUSTRIAL",IF(OR($D$356="",$D$362=""),"",IF(OR(D385&gt;$D$363,E385&gt;$D$364),"Rev. Total. abona.",IF(D385="",IF(E385="","",E385/(0.92*1000)),IF(OR($D$356="SAN CRISTOBAL",$D$356="FLOREANA"),VLOOKUP(D385,'Estratos SCY - FLO'!$A$4:$M$108,IF($D$362="A1",2,IF($D$362="A",5,IF($D$362="B",8,11))))+E385/(0.92*1000),VLOOKUP(D385,'Estratos SCX - ISA'!$A$3:$M$107,IF($D$362="A1",2,IF($D$362="A",5,IF($D$362="B",8,11))))+E385/(0.92*1000))))),IF(OR($D$356="",$D$362=""),"",IF(OR(D385&gt;$D$363,E385&gt;$D$364),"Rev. Total. abona.",IF(D385="",IF(E385="","",E385/(0.92*1000)),IF(OR($D$356="SAN CRISTOBAL",$D$356="FLOREANA"),VLOOKUP(D385,'Estratos SCY - FLO'!$O$4:$S$108,IF($D$362="A1",2,IF($D$362="A",3,IF($D$362="B",4,5))))+E385/(0.92*1000),VLOOKUP(D385,'Estratos SCX - ISA'!$O$4:$S$108,IF($D$362="A1",2,IF($D$362="A",3,IF($D$362="B",4,5))))+E385/(0.92*1000)))))))</f>
        <v/>
      </c>
      <c r="G385" s="59" t="str">
        <f t="shared" si="53"/>
        <v/>
      </c>
      <c r="H385" s="183"/>
      <c r="I385" s="183"/>
      <c r="J385" s="59" t="str">
        <f>IF(OR(H385="",$D$10="",$N$10=""),"",IF($D$10="COBRE",VLOOKUP(CDV_PROY_BT!H385,FDV!$B$16:$E$24,IF(CDV_PROY_BT!$N$10="3F",3,4),FALSE),IF($D$10="ACS",VLOOKUP(CDV_PROY_BT!H385,FDV!$B$10:$E$15,IF(CDV_PROY_BT!$N$10="3F",3,4),FALSE),IF($D$10="5005 (PREENSAMBLADO)",VLOOKUP(CDV_PROY_BT!H385,FDV!$B$4:$E$9,IF(CDV_PROY_BT!$N$10="3F",3,4),FALSE),VLOOKUP(CDV_PROY_BT!H385,FDV!$B$25:$E$30,IF(CDV_PROY_BT!$N$10="3F",3,4),FALSE)))))</f>
        <v/>
      </c>
      <c r="K385" s="63" t="str">
        <f t="shared" si="52"/>
        <v/>
      </c>
      <c r="L385" s="62" t="str">
        <f t="shared" si="54"/>
        <v/>
      </c>
      <c r="M385" s="62" t="str">
        <f t="shared" si="55"/>
        <v/>
      </c>
      <c r="N385" s="155"/>
      <c r="U385" s="138">
        <f t="shared" si="56"/>
        <v>0</v>
      </c>
      <c r="V385" s="138">
        <f t="shared" si="57"/>
        <v>0</v>
      </c>
    </row>
    <row r="386" spans="1:22" ht="15" hidden="1">
      <c r="A386" s="167"/>
      <c r="B386" s="168"/>
      <c r="C386" s="169"/>
      <c r="D386" s="169"/>
      <c r="E386" s="170"/>
      <c r="F386" s="58" t="str">
        <f>IF($N$358="","",IF($N$358="INDUSTRIAL",IF(OR($D$356="",$D$362=""),"",IF(OR(D386&gt;$D$363,E386&gt;$D$364),"Rev. Total. abona.",IF(D386="",IF(E386="","",E386/(0.92*1000)),IF(OR($D$356="SAN CRISTOBAL",$D$356="FLOREANA"),VLOOKUP(D386,'Estratos SCY - FLO'!$A$4:$M$108,IF($D$362="A1",2,IF($D$362="A",5,IF($D$362="B",8,11))))+E386/(0.92*1000),VLOOKUP(D386,'Estratos SCX - ISA'!$A$3:$M$107,IF($D$362="A1",2,IF($D$362="A",5,IF($D$362="B",8,11))))+E386/(0.92*1000))))),IF(OR($D$356="",$D$362=""),"",IF(OR(D386&gt;$D$363,E386&gt;$D$364),"Rev. Total. abona.",IF(D386="",IF(E386="","",E386/(0.92*1000)),IF(OR($D$356="SAN CRISTOBAL",$D$356="FLOREANA"),VLOOKUP(D386,'Estratos SCY - FLO'!$O$4:$S$108,IF($D$362="A1",2,IF($D$362="A",3,IF($D$362="B",4,5))))+E386/(0.92*1000),VLOOKUP(D386,'Estratos SCX - ISA'!$O$4:$S$108,IF($D$362="A1",2,IF($D$362="A",3,IF($D$362="B",4,5))))+E386/(0.92*1000)))))))</f>
        <v/>
      </c>
      <c r="G386" s="59" t="str">
        <f t="shared" si="53"/>
        <v/>
      </c>
      <c r="H386" s="183"/>
      <c r="I386" s="183"/>
      <c r="J386" s="59" t="str">
        <f>IF(OR(H386="",$D$10="",$N$10=""),"",IF($D$10="COBRE",VLOOKUP(CDV_PROY_BT!H386,FDV!$B$16:$E$24,IF(CDV_PROY_BT!$N$10="3F",3,4),FALSE),IF($D$10="ACS",VLOOKUP(CDV_PROY_BT!H386,FDV!$B$10:$E$15,IF(CDV_PROY_BT!$N$10="3F",3,4),FALSE),IF($D$10="5005 (PREENSAMBLADO)",VLOOKUP(CDV_PROY_BT!H386,FDV!$B$4:$E$9,IF(CDV_PROY_BT!$N$10="3F",3,4),FALSE),VLOOKUP(CDV_PROY_BT!H386,FDV!$B$25:$E$30,IF(CDV_PROY_BT!$N$10="3F",3,4),FALSE)))))</f>
        <v/>
      </c>
      <c r="K386" s="63" t="str">
        <f t="shared" si="52"/>
        <v/>
      </c>
      <c r="L386" s="62" t="str">
        <f t="shared" si="54"/>
        <v/>
      </c>
      <c r="M386" s="62" t="str">
        <f t="shared" si="55"/>
        <v/>
      </c>
      <c r="N386" s="155"/>
      <c r="U386" s="138">
        <f t="shared" si="56"/>
        <v>0</v>
      </c>
      <c r="V386" s="138">
        <f t="shared" si="57"/>
        <v>0</v>
      </c>
    </row>
    <row r="387" spans="1:22" ht="15" hidden="1">
      <c r="A387" s="167"/>
      <c r="B387" s="168"/>
      <c r="C387" s="169"/>
      <c r="D387" s="169"/>
      <c r="E387" s="170"/>
      <c r="F387" s="58" t="str">
        <f>IF($N$358="","",IF($N$358="INDUSTRIAL",IF(OR($D$356="",$D$362=""),"",IF(OR(D387&gt;$D$363,E387&gt;$D$364),"Rev. Total. abona.",IF(D387="",IF(E387="","",E387/(0.92*1000)),IF(OR($D$356="SAN CRISTOBAL",$D$356="FLOREANA"),VLOOKUP(D387,'Estratos SCY - FLO'!$A$4:$M$108,IF($D$362="A1",2,IF($D$362="A",5,IF($D$362="B",8,11))))+E387/(0.92*1000),VLOOKUP(D387,'Estratos SCX - ISA'!$A$3:$M$107,IF($D$362="A1",2,IF($D$362="A",5,IF($D$362="B",8,11))))+E387/(0.92*1000))))),IF(OR($D$356="",$D$362=""),"",IF(OR(D387&gt;$D$363,E387&gt;$D$364),"Rev. Total. abona.",IF(D387="",IF(E387="","",E387/(0.92*1000)),IF(OR($D$356="SAN CRISTOBAL",$D$356="FLOREANA"),VLOOKUP(D387,'Estratos SCY - FLO'!$O$4:$S$108,IF($D$362="A1",2,IF($D$362="A",3,IF($D$362="B",4,5))))+E387/(0.92*1000),VLOOKUP(D387,'Estratos SCX - ISA'!$O$4:$S$108,IF($D$362="A1",2,IF($D$362="A",3,IF($D$362="B",4,5))))+E387/(0.92*1000)))))))</f>
        <v/>
      </c>
      <c r="G387" s="59" t="str">
        <f t="shared" si="53"/>
        <v/>
      </c>
      <c r="H387" s="183"/>
      <c r="I387" s="183"/>
      <c r="J387" s="59" t="str">
        <f>IF(OR(H387="",$D$10="",$N$10=""),"",IF($D$10="COBRE",VLOOKUP(CDV_PROY_BT!H387,FDV!$B$16:$E$24,IF(CDV_PROY_BT!$N$10="3F",3,4),FALSE),IF($D$10="ACS",VLOOKUP(CDV_PROY_BT!H387,FDV!$B$10:$E$15,IF(CDV_PROY_BT!$N$10="3F",3,4),FALSE),IF($D$10="5005 (PREENSAMBLADO)",VLOOKUP(CDV_PROY_BT!H387,FDV!$B$4:$E$9,IF(CDV_PROY_BT!$N$10="3F",3,4),FALSE),VLOOKUP(CDV_PROY_BT!H387,FDV!$B$25:$E$30,IF(CDV_PROY_BT!$N$10="3F",3,4),FALSE)))))</f>
        <v/>
      </c>
      <c r="K387" s="63" t="str">
        <f t="shared" si="52"/>
        <v/>
      </c>
      <c r="L387" s="62" t="str">
        <f t="shared" si="54"/>
        <v/>
      </c>
      <c r="M387" s="62" t="str">
        <f t="shared" si="55"/>
        <v/>
      </c>
      <c r="N387" s="155"/>
      <c r="U387" s="138">
        <f t="shared" si="56"/>
        <v>0</v>
      </c>
      <c r="V387" s="138">
        <f t="shared" si="57"/>
        <v>0</v>
      </c>
    </row>
    <row r="388" spans="1:22" ht="15" hidden="1">
      <c r="A388" s="167"/>
      <c r="B388" s="168"/>
      <c r="C388" s="169"/>
      <c r="D388" s="169"/>
      <c r="E388" s="170"/>
      <c r="F388" s="58" t="str">
        <f>IF($N$358="","",IF($N$358="INDUSTRIAL",IF(OR($D$356="",$D$362=""),"",IF(OR(D388&gt;$D$363,E388&gt;$D$364),"Rev. Total. abona.",IF(D388="",IF(E388="","",E388/(0.92*1000)),IF(OR($D$356="SAN CRISTOBAL",$D$356="FLOREANA"),VLOOKUP(D388,'Estratos SCY - FLO'!$A$4:$M$108,IF($D$362="A1",2,IF($D$362="A",5,IF($D$362="B",8,11))))+E388/(0.92*1000),VLOOKUP(D388,'Estratos SCX - ISA'!$A$3:$M$107,IF($D$362="A1",2,IF($D$362="A",5,IF($D$362="B",8,11))))+E388/(0.92*1000))))),IF(OR($D$356="",$D$362=""),"",IF(OR(D388&gt;$D$363,E388&gt;$D$364),"Rev. Total. abona.",IF(D388="",IF(E388="","",E388/(0.92*1000)),IF(OR($D$356="SAN CRISTOBAL",$D$356="FLOREANA"),VLOOKUP(D388,'Estratos SCY - FLO'!$O$4:$S$108,IF($D$362="A1",2,IF($D$362="A",3,IF($D$362="B",4,5))))+E388/(0.92*1000),VLOOKUP(D388,'Estratos SCX - ISA'!$O$4:$S$108,IF($D$362="A1",2,IF($D$362="A",3,IF($D$362="B",4,5))))+E388/(0.92*1000)))))))</f>
        <v/>
      </c>
      <c r="G388" s="59" t="str">
        <f t="shared" si="53"/>
        <v/>
      </c>
      <c r="H388" s="183"/>
      <c r="I388" s="183"/>
      <c r="J388" s="59" t="str">
        <f>IF(OR(H388="",$D$10="",$N$10=""),"",IF($D$10="COBRE",VLOOKUP(CDV_PROY_BT!H388,FDV!$B$16:$E$24,IF(CDV_PROY_BT!$N$10="3F",3,4),FALSE),IF($D$10="ACS",VLOOKUP(CDV_PROY_BT!H388,FDV!$B$10:$E$15,IF(CDV_PROY_BT!$N$10="3F",3,4),FALSE),IF($D$10="5005 (PREENSAMBLADO)",VLOOKUP(CDV_PROY_BT!H388,FDV!$B$4:$E$9,IF(CDV_PROY_BT!$N$10="3F",3,4),FALSE),VLOOKUP(CDV_PROY_BT!H388,FDV!$B$25:$E$30,IF(CDV_PROY_BT!$N$10="3F",3,4),FALSE)))))</f>
        <v/>
      </c>
      <c r="K388" s="63" t="str">
        <f t="shared" si="52"/>
        <v/>
      </c>
      <c r="L388" s="62" t="str">
        <f t="shared" si="54"/>
        <v/>
      </c>
      <c r="M388" s="62" t="str">
        <f t="shared" si="55"/>
        <v/>
      </c>
      <c r="N388" s="155"/>
      <c r="U388" s="138">
        <f t="shared" si="56"/>
        <v>0</v>
      </c>
      <c r="V388" s="138">
        <f t="shared" si="57"/>
        <v>0</v>
      </c>
    </row>
    <row r="389" spans="1:22" ht="15" hidden="1">
      <c r="A389" s="167"/>
      <c r="B389" s="168"/>
      <c r="C389" s="169"/>
      <c r="D389" s="169"/>
      <c r="E389" s="170"/>
      <c r="F389" s="58" t="str">
        <f>IF($N$358="","",IF($N$358="INDUSTRIAL",IF(OR($D$356="",$D$362=""),"",IF(OR(D389&gt;$D$363,E389&gt;$D$364),"Rev. Total. abona.",IF(D389="",IF(E389="","",E389/(0.92*1000)),IF(OR($D$356="SAN CRISTOBAL",$D$356="FLOREANA"),VLOOKUP(D389,'Estratos SCY - FLO'!$A$4:$M$108,IF($D$362="A1",2,IF($D$362="A",5,IF($D$362="B",8,11))))+E389/(0.92*1000),VLOOKUP(D389,'Estratos SCX - ISA'!$A$3:$M$107,IF($D$362="A1",2,IF($D$362="A",5,IF($D$362="B",8,11))))+E389/(0.92*1000))))),IF(OR($D$356="",$D$362=""),"",IF(OR(D389&gt;$D$363,E389&gt;$D$364),"Rev. Total. abona.",IF(D389="",IF(E389="","",E389/(0.92*1000)),IF(OR($D$356="SAN CRISTOBAL",$D$356="FLOREANA"),VLOOKUP(D389,'Estratos SCY - FLO'!$O$4:$S$108,IF($D$362="A1",2,IF($D$362="A",3,IF($D$362="B",4,5))))+E389/(0.92*1000),VLOOKUP(D389,'Estratos SCX - ISA'!$O$4:$S$108,IF($D$362="A1",2,IF($D$362="A",3,IF($D$362="B",4,5))))+E389/(0.92*1000)))))))</f>
        <v/>
      </c>
      <c r="G389" s="59" t="str">
        <f t="shared" si="53"/>
        <v/>
      </c>
      <c r="H389" s="183"/>
      <c r="I389" s="183"/>
      <c r="J389" s="59" t="str">
        <f>IF(OR(H389="",$D$10="",$N$10=""),"",IF($D$10="COBRE",VLOOKUP(CDV_PROY_BT!H389,FDV!$B$16:$E$24,IF(CDV_PROY_BT!$N$10="3F",3,4),FALSE),IF($D$10="ACS",VLOOKUP(CDV_PROY_BT!H389,FDV!$B$10:$E$15,IF(CDV_PROY_BT!$N$10="3F",3,4),FALSE),IF($D$10="5005 (PREENSAMBLADO)",VLOOKUP(CDV_PROY_BT!H389,FDV!$B$4:$E$9,IF(CDV_PROY_BT!$N$10="3F",3,4),FALSE),VLOOKUP(CDV_PROY_BT!H389,FDV!$B$25:$E$30,IF(CDV_PROY_BT!$N$10="3F",3,4),FALSE)))))</f>
        <v/>
      </c>
      <c r="K389" s="63" t="str">
        <f t="shared" si="52"/>
        <v/>
      </c>
      <c r="L389" s="62" t="str">
        <f t="shared" si="54"/>
        <v/>
      </c>
      <c r="M389" s="62" t="str">
        <f t="shared" si="55"/>
        <v/>
      </c>
      <c r="N389" s="155"/>
      <c r="U389" s="138">
        <f t="shared" si="56"/>
        <v>0</v>
      </c>
      <c r="V389" s="138">
        <f t="shared" si="57"/>
        <v>0</v>
      </c>
    </row>
    <row r="390" spans="1:22" ht="15" hidden="1">
      <c r="A390" s="167"/>
      <c r="B390" s="168"/>
      <c r="C390" s="169"/>
      <c r="D390" s="169"/>
      <c r="E390" s="170"/>
      <c r="F390" s="58" t="str">
        <f>IF($N$358="","",IF($N$358="INDUSTRIAL",IF(OR($D$356="",$D$362=""),"",IF(OR(D390&gt;$D$363,E390&gt;$D$364),"Rev. Total. abona.",IF(D390="",IF(E390="","",E390/(0.92*1000)),IF(OR($D$356="SAN CRISTOBAL",$D$356="FLOREANA"),VLOOKUP(D390,'Estratos SCY - FLO'!$A$4:$M$108,IF($D$362="A1",2,IF($D$362="A",5,IF($D$362="B",8,11))))+E390/(0.92*1000),VLOOKUP(D390,'Estratos SCX - ISA'!$A$3:$M$107,IF($D$362="A1",2,IF($D$362="A",5,IF($D$362="B",8,11))))+E390/(0.92*1000))))),IF(OR($D$356="",$D$362=""),"",IF(OR(D390&gt;$D$363,E390&gt;$D$364),"Rev. Total. abona.",IF(D390="",IF(E390="","",E390/(0.92*1000)),IF(OR($D$356="SAN CRISTOBAL",$D$356="FLOREANA"),VLOOKUP(D390,'Estratos SCY - FLO'!$O$4:$S$108,IF($D$362="A1",2,IF($D$362="A",3,IF($D$362="B",4,5))))+E390/(0.92*1000),VLOOKUP(D390,'Estratos SCX - ISA'!$O$4:$S$108,IF($D$362="A1",2,IF($D$362="A",3,IF($D$362="B",4,5))))+E390/(0.92*1000)))))))</f>
        <v/>
      </c>
      <c r="G390" s="59" t="str">
        <f t="shared" si="53"/>
        <v/>
      </c>
      <c r="H390" s="183"/>
      <c r="I390" s="183"/>
      <c r="J390" s="59" t="str">
        <f>IF(OR(H390="",$D$10="",$N$10=""),"",IF($D$10="COBRE",VLOOKUP(CDV_PROY_BT!H390,FDV!$B$16:$E$24,IF(CDV_PROY_BT!$N$10="3F",3,4),FALSE),IF($D$10="ACS",VLOOKUP(CDV_PROY_BT!H390,FDV!$B$10:$E$15,IF(CDV_PROY_BT!$N$10="3F",3,4),FALSE),IF($D$10="5005 (PREENSAMBLADO)",VLOOKUP(CDV_PROY_BT!H390,FDV!$B$4:$E$9,IF(CDV_PROY_BT!$N$10="3F",3,4),FALSE),VLOOKUP(CDV_PROY_BT!H390,FDV!$B$25:$E$30,IF(CDV_PROY_BT!$N$10="3F",3,4),FALSE)))))</f>
        <v/>
      </c>
      <c r="K390" s="63" t="str">
        <f t="shared" si="52"/>
        <v/>
      </c>
      <c r="L390" s="62" t="str">
        <f t="shared" si="54"/>
        <v/>
      </c>
      <c r="M390" s="62" t="str">
        <f t="shared" si="55"/>
        <v/>
      </c>
      <c r="N390" s="155"/>
      <c r="U390" s="138">
        <f t="shared" si="56"/>
        <v>0</v>
      </c>
      <c r="V390" s="138">
        <f t="shared" si="57"/>
        <v>0</v>
      </c>
    </row>
    <row r="391" spans="1:22" ht="15" hidden="1">
      <c r="A391" s="167"/>
      <c r="B391" s="168"/>
      <c r="C391" s="169"/>
      <c r="D391" s="169"/>
      <c r="E391" s="170"/>
      <c r="F391" s="58" t="str">
        <f>IF($N$358="","",IF($N$358="INDUSTRIAL",IF(OR($D$356="",$D$362=""),"",IF(OR(D391&gt;$D$363,E391&gt;$D$364),"Rev. Total. abona.",IF(D391="",IF(E391="","",E391/(0.92*1000)),IF(OR($D$356="SAN CRISTOBAL",$D$356="FLOREANA"),VLOOKUP(D391,'Estratos SCY - FLO'!$A$4:$M$108,IF($D$362="A1",2,IF($D$362="A",5,IF($D$362="B",8,11))))+E391/(0.92*1000),VLOOKUP(D391,'Estratos SCX - ISA'!$A$3:$M$107,IF($D$362="A1",2,IF($D$362="A",5,IF($D$362="B",8,11))))+E391/(0.92*1000))))),IF(OR($D$356="",$D$362=""),"",IF(OR(D391&gt;$D$363,E391&gt;$D$364),"Rev. Total. abona.",IF(D391="",IF(E391="","",E391/(0.92*1000)),IF(OR($D$356="SAN CRISTOBAL",$D$356="FLOREANA"),VLOOKUP(D391,'Estratos SCY - FLO'!$O$4:$S$108,IF($D$362="A1",2,IF($D$362="A",3,IF($D$362="B",4,5))))+E391/(0.92*1000),VLOOKUP(D391,'Estratos SCX - ISA'!$O$4:$S$108,IF($D$362="A1",2,IF($D$362="A",3,IF($D$362="B",4,5))))+E391/(0.92*1000)))))))</f>
        <v/>
      </c>
      <c r="G391" s="59" t="str">
        <f t="shared" si="53"/>
        <v/>
      </c>
      <c r="H391" s="183"/>
      <c r="I391" s="183"/>
      <c r="J391" s="59" t="str">
        <f>IF(OR(H391="",$D$10="",$N$10=""),"",IF($D$10="COBRE",VLOOKUP(CDV_PROY_BT!H391,FDV!$B$16:$E$24,IF(CDV_PROY_BT!$N$10="3F",3,4),FALSE),IF($D$10="ACS",VLOOKUP(CDV_PROY_BT!H391,FDV!$B$10:$E$15,IF(CDV_PROY_BT!$N$10="3F",3,4),FALSE),IF($D$10="5005 (PREENSAMBLADO)",VLOOKUP(CDV_PROY_BT!H391,FDV!$B$4:$E$9,IF(CDV_PROY_BT!$N$10="3F",3,4),FALSE),VLOOKUP(CDV_PROY_BT!H391,FDV!$B$25:$E$30,IF(CDV_PROY_BT!$N$10="3F",3,4),FALSE)))))</f>
        <v/>
      </c>
      <c r="K391" s="63" t="str">
        <f t="shared" si="52"/>
        <v/>
      </c>
      <c r="L391" s="62" t="str">
        <f t="shared" si="54"/>
        <v/>
      </c>
      <c r="M391" s="62" t="str">
        <f t="shared" si="55"/>
        <v/>
      </c>
      <c r="N391" s="155"/>
      <c r="U391" s="138">
        <f t="shared" si="56"/>
        <v>0</v>
      </c>
      <c r="V391" s="138">
        <f t="shared" si="57"/>
        <v>0</v>
      </c>
    </row>
    <row r="392" spans="1:22" ht="15" hidden="1">
      <c r="A392" s="167"/>
      <c r="B392" s="168"/>
      <c r="C392" s="169"/>
      <c r="D392" s="169"/>
      <c r="E392" s="170"/>
      <c r="F392" s="58" t="str">
        <f>IF($N$358="","",IF($N$358="INDUSTRIAL",IF(OR($D$356="",$D$362=""),"",IF(OR(D392&gt;$D$363,E392&gt;$D$364),"Rev. Total. abona.",IF(D392="",IF(E392="","",E392/(0.92*1000)),IF(OR($D$356="SAN CRISTOBAL",$D$356="FLOREANA"),VLOOKUP(D392,'Estratos SCY - FLO'!$A$4:$M$108,IF($D$362="A1",2,IF($D$362="A",5,IF($D$362="B",8,11))))+E392/(0.92*1000),VLOOKUP(D392,'Estratos SCX - ISA'!$A$3:$M$107,IF($D$362="A1",2,IF($D$362="A",5,IF($D$362="B",8,11))))+E392/(0.92*1000))))),IF(OR($D$356="",$D$362=""),"",IF(OR(D392&gt;$D$363,E392&gt;$D$364),"Rev. Total. abona.",IF(D392="",IF(E392="","",E392/(0.92*1000)),IF(OR($D$356="SAN CRISTOBAL",$D$356="FLOREANA"),VLOOKUP(D392,'Estratos SCY - FLO'!$O$4:$S$108,IF($D$362="A1",2,IF($D$362="A",3,IF($D$362="B",4,5))))+E392/(0.92*1000),VLOOKUP(D392,'Estratos SCX - ISA'!$O$4:$S$108,IF($D$362="A1",2,IF($D$362="A",3,IF($D$362="B",4,5))))+E392/(0.92*1000)))))))</f>
        <v/>
      </c>
      <c r="G392" s="59" t="str">
        <f t="shared" si="53"/>
        <v/>
      </c>
      <c r="H392" s="183"/>
      <c r="I392" s="183"/>
      <c r="J392" s="59" t="str">
        <f>IF(OR(H392="",$D$10="",$N$10=""),"",IF($D$10="COBRE",VLOOKUP(CDV_PROY_BT!H392,FDV!$B$16:$E$24,IF(CDV_PROY_BT!$N$10="3F",3,4),FALSE),IF($D$10="ACS",VLOOKUP(CDV_PROY_BT!H392,FDV!$B$10:$E$15,IF(CDV_PROY_BT!$N$10="3F",3,4),FALSE),IF($D$10="5005 (PREENSAMBLADO)",VLOOKUP(CDV_PROY_BT!H392,FDV!$B$4:$E$9,IF(CDV_PROY_BT!$N$10="3F",3,4),FALSE),VLOOKUP(CDV_PROY_BT!H392,FDV!$B$25:$E$30,IF(CDV_PROY_BT!$N$10="3F",3,4),FALSE)))))</f>
        <v/>
      </c>
      <c r="K392" s="63" t="str">
        <f t="shared" si="52"/>
        <v/>
      </c>
      <c r="L392" s="62" t="str">
        <f t="shared" si="54"/>
        <v/>
      </c>
      <c r="M392" s="62" t="str">
        <f t="shared" si="55"/>
        <v/>
      </c>
      <c r="N392" s="155"/>
      <c r="U392" s="138">
        <f t="shared" si="56"/>
        <v>0</v>
      </c>
      <c r="V392" s="138">
        <f t="shared" si="57"/>
        <v>0</v>
      </c>
    </row>
    <row r="393" spans="1:22" ht="15" hidden="1">
      <c r="A393" s="167"/>
      <c r="B393" s="168"/>
      <c r="C393" s="169"/>
      <c r="D393" s="169"/>
      <c r="E393" s="170"/>
      <c r="F393" s="58" t="str">
        <f>IF($N$358="","",IF($N$358="INDUSTRIAL",IF(OR($D$356="",$D$362=""),"",IF(OR(D393&gt;$D$363,E393&gt;$D$364),"Rev. Total. abona.",IF(D393="",IF(E393="","",E393/(0.92*1000)),IF(OR($D$356="SAN CRISTOBAL",$D$356="FLOREANA"),VLOOKUP(D393,'Estratos SCY - FLO'!$A$4:$M$108,IF($D$362="A1",2,IF($D$362="A",5,IF($D$362="B",8,11))))+E393/(0.92*1000),VLOOKUP(D393,'Estratos SCX - ISA'!$A$3:$M$107,IF($D$362="A1",2,IF($D$362="A",5,IF($D$362="B",8,11))))+E393/(0.92*1000))))),IF(OR($D$356="",$D$362=""),"",IF(OR(D393&gt;$D$363,E393&gt;$D$364),"Rev. Total. abona.",IF(D393="",IF(E393="","",E393/(0.92*1000)),IF(OR($D$356="SAN CRISTOBAL",$D$356="FLOREANA"),VLOOKUP(D393,'Estratos SCY - FLO'!$O$4:$S$108,IF($D$362="A1",2,IF($D$362="A",3,IF($D$362="B",4,5))))+E393/(0.92*1000),VLOOKUP(D393,'Estratos SCX - ISA'!$O$4:$S$108,IF($D$362="A1",2,IF($D$362="A",3,IF($D$362="B",4,5))))+E393/(0.92*1000)))))))</f>
        <v/>
      </c>
      <c r="G393" s="59" t="str">
        <f t="shared" si="53"/>
        <v/>
      </c>
      <c r="H393" s="183"/>
      <c r="I393" s="183"/>
      <c r="J393" s="59" t="str">
        <f>IF(OR(H393="",$D$10="",$N$10=""),"",IF($D$10="COBRE",VLOOKUP(CDV_PROY_BT!H393,FDV!$B$16:$E$24,IF(CDV_PROY_BT!$N$10="3F",3,4),FALSE),IF($D$10="ACS",VLOOKUP(CDV_PROY_BT!H393,FDV!$B$10:$E$15,IF(CDV_PROY_BT!$N$10="3F",3,4),FALSE),IF($D$10="5005 (PREENSAMBLADO)",VLOOKUP(CDV_PROY_BT!H393,FDV!$B$4:$E$9,IF(CDV_PROY_BT!$N$10="3F",3,4),FALSE),VLOOKUP(CDV_PROY_BT!H393,FDV!$B$25:$E$30,IF(CDV_PROY_BT!$N$10="3F",3,4),FALSE)))))</f>
        <v/>
      </c>
      <c r="K393" s="63" t="str">
        <f t="shared" si="52"/>
        <v/>
      </c>
      <c r="L393" s="62" t="str">
        <f t="shared" si="54"/>
        <v/>
      </c>
      <c r="M393" s="62" t="str">
        <f t="shared" si="55"/>
        <v/>
      </c>
      <c r="N393" s="155"/>
      <c r="U393" s="138">
        <f t="shared" si="56"/>
        <v>0</v>
      </c>
      <c r="V393" s="138">
        <f t="shared" si="57"/>
        <v>0</v>
      </c>
    </row>
    <row r="394" spans="1:22" ht="15" hidden="1">
      <c r="A394" s="167"/>
      <c r="B394" s="168"/>
      <c r="C394" s="169"/>
      <c r="D394" s="169"/>
      <c r="E394" s="170"/>
      <c r="F394" s="58" t="str">
        <f>IF($N$358="","",IF($N$358="INDUSTRIAL",IF(OR($D$356="",$D$362=""),"",IF(OR(D394&gt;$D$363,E394&gt;$D$364),"Rev. Total. abona.",IF(D394="",IF(E394="","",E394/(0.92*1000)),IF(OR($D$356="SAN CRISTOBAL",$D$356="FLOREANA"),VLOOKUP(D394,'Estratos SCY - FLO'!$A$4:$M$108,IF($D$362="A1",2,IF($D$362="A",5,IF($D$362="B",8,11))))+E394/(0.92*1000),VLOOKUP(D394,'Estratos SCX - ISA'!$A$3:$M$107,IF($D$362="A1",2,IF($D$362="A",5,IF($D$362="B",8,11))))+E394/(0.92*1000))))),IF(OR($D$356="",$D$362=""),"",IF(OR(D394&gt;$D$363,E394&gt;$D$364),"Rev. Total. abona.",IF(D394="",IF(E394="","",E394/(0.92*1000)),IF(OR($D$356="SAN CRISTOBAL",$D$356="FLOREANA"),VLOOKUP(D394,'Estratos SCY - FLO'!$O$4:$S$108,IF($D$362="A1",2,IF($D$362="A",3,IF($D$362="B",4,5))))+E394/(0.92*1000),VLOOKUP(D394,'Estratos SCX - ISA'!$O$4:$S$108,IF($D$362="A1",2,IF($D$362="A",3,IF($D$362="B",4,5))))+E394/(0.92*1000)))))))</f>
        <v/>
      </c>
      <c r="G394" s="59" t="str">
        <f t="shared" si="53"/>
        <v/>
      </c>
      <c r="H394" s="183"/>
      <c r="I394" s="183"/>
      <c r="J394" s="59" t="str">
        <f>IF(OR(H394="",$D$10="",$N$10=""),"",IF($D$10="COBRE",VLOOKUP(CDV_PROY_BT!H394,FDV!$B$16:$E$24,IF(CDV_PROY_BT!$N$10="3F",3,4),FALSE),IF($D$10="ACS",VLOOKUP(CDV_PROY_BT!H394,FDV!$B$10:$E$15,IF(CDV_PROY_BT!$N$10="3F",3,4),FALSE),IF($D$10="5005 (PREENSAMBLADO)",VLOOKUP(CDV_PROY_BT!H394,FDV!$B$4:$E$9,IF(CDV_PROY_BT!$N$10="3F",3,4),FALSE),VLOOKUP(CDV_PROY_BT!H394,FDV!$B$25:$E$30,IF(CDV_PROY_BT!$N$10="3F",3,4),FALSE)))))</f>
        <v/>
      </c>
      <c r="K394" s="63" t="str">
        <f t="shared" si="52"/>
        <v/>
      </c>
      <c r="L394" s="62" t="str">
        <f t="shared" si="54"/>
        <v/>
      </c>
      <c r="M394" s="62" t="str">
        <f t="shared" si="55"/>
        <v/>
      </c>
      <c r="N394" s="155"/>
      <c r="U394" s="138">
        <f t="shared" si="56"/>
        <v>0</v>
      </c>
      <c r="V394" s="138">
        <f t="shared" si="57"/>
        <v>0</v>
      </c>
    </row>
    <row r="395" spans="1:22" ht="15" hidden="1">
      <c r="A395" s="167"/>
      <c r="B395" s="168"/>
      <c r="C395" s="169"/>
      <c r="D395" s="169"/>
      <c r="E395" s="170"/>
      <c r="F395" s="58" t="str">
        <f>IF($N$358="","",IF($N$358="INDUSTRIAL",IF(OR($D$356="",$D$362=""),"",IF(OR(D395&gt;$D$363,E395&gt;$D$364),"Rev. Total. abona.",IF(D395="",IF(E395="","",E395/(0.92*1000)),IF(OR($D$356="SAN CRISTOBAL",$D$356="FLOREANA"),VLOOKUP(D395,'Estratos SCY - FLO'!$A$4:$M$108,IF($D$362="A1",2,IF($D$362="A",5,IF($D$362="B",8,11))))+E395/(0.92*1000),VLOOKUP(D395,'Estratos SCX - ISA'!$A$3:$M$107,IF($D$362="A1",2,IF($D$362="A",5,IF($D$362="B",8,11))))+E395/(0.92*1000))))),IF(OR($D$356="",$D$362=""),"",IF(OR(D395&gt;$D$363,E395&gt;$D$364),"Rev. Total. abona.",IF(D395="",IF(E395="","",E395/(0.92*1000)),IF(OR($D$356="SAN CRISTOBAL",$D$356="FLOREANA"),VLOOKUP(D395,'Estratos SCY - FLO'!$O$4:$S$108,IF($D$362="A1",2,IF($D$362="A",3,IF($D$362="B",4,5))))+E395/(0.92*1000),VLOOKUP(D395,'Estratos SCX - ISA'!$O$4:$S$108,IF($D$362="A1",2,IF($D$362="A",3,IF($D$362="B",4,5))))+E395/(0.92*1000)))))))</f>
        <v/>
      </c>
      <c r="G395" s="59" t="str">
        <f t="shared" si="53"/>
        <v/>
      </c>
      <c r="H395" s="183"/>
      <c r="I395" s="183"/>
      <c r="J395" s="59" t="str">
        <f>IF(OR(H395="",$D$10="",$N$10=""),"",IF($D$10="COBRE",VLOOKUP(CDV_PROY_BT!H395,FDV!$B$16:$E$24,IF(CDV_PROY_BT!$N$10="3F",3,4),FALSE),IF($D$10="ACS",VLOOKUP(CDV_PROY_BT!H395,FDV!$B$10:$E$15,IF(CDV_PROY_BT!$N$10="3F",3,4),FALSE),IF($D$10="5005 (PREENSAMBLADO)",VLOOKUP(CDV_PROY_BT!H395,FDV!$B$4:$E$9,IF(CDV_PROY_BT!$N$10="3F",3,4),FALSE),VLOOKUP(CDV_PROY_BT!H395,FDV!$B$25:$E$30,IF(CDV_PROY_BT!$N$10="3F",3,4),FALSE)))))</f>
        <v/>
      </c>
      <c r="K395" s="63" t="str">
        <f t="shared" si="52"/>
        <v/>
      </c>
      <c r="L395" s="62" t="str">
        <f t="shared" si="54"/>
        <v/>
      </c>
      <c r="M395" s="62" t="str">
        <f t="shared" si="55"/>
        <v/>
      </c>
      <c r="N395" s="155"/>
      <c r="U395" s="138">
        <f t="shared" si="56"/>
        <v>0</v>
      </c>
      <c r="V395" s="138">
        <f t="shared" si="57"/>
        <v>0</v>
      </c>
    </row>
    <row r="396" spans="1:22" ht="15" hidden="1">
      <c r="A396" s="167"/>
      <c r="B396" s="168"/>
      <c r="C396" s="169"/>
      <c r="D396" s="169"/>
      <c r="E396" s="170"/>
      <c r="F396" s="58" t="str">
        <f>IF($N$358="","",IF($N$358="INDUSTRIAL",IF(OR($D$356="",$D$362=""),"",IF(OR(D396&gt;$D$363,E396&gt;$D$364),"Rev. Total. abona.",IF(D396="",IF(E396="","",E396/(0.92*1000)),IF(OR($D$356="SAN CRISTOBAL",$D$356="FLOREANA"),VLOOKUP(D396,'Estratos SCY - FLO'!$A$4:$M$108,IF($D$362="A1",2,IF($D$362="A",5,IF($D$362="B",8,11))))+E396/(0.92*1000),VLOOKUP(D396,'Estratos SCX - ISA'!$A$3:$M$107,IF($D$362="A1",2,IF($D$362="A",5,IF($D$362="B",8,11))))+E396/(0.92*1000))))),IF(OR($D$356="",$D$362=""),"",IF(OR(D396&gt;$D$363,E396&gt;$D$364),"Rev. Total. abona.",IF(D396="",IF(E396="","",E396/(0.92*1000)),IF(OR($D$356="SAN CRISTOBAL",$D$356="FLOREANA"),VLOOKUP(D396,'Estratos SCY - FLO'!$O$4:$S$108,IF($D$362="A1",2,IF($D$362="A",3,IF($D$362="B",4,5))))+E396/(0.92*1000),VLOOKUP(D396,'Estratos SCX - ISA'!$O$4:$S$108,IF($D$362="A1",2,IF($D$362="A",3,IF($D$362="B",4,5))))+E396/(0.92*1000)))))))</f>
        <v/>
      </c>
      <c r="G396" s="59" t="str">
        <f t="shared" si="53"/>
        <v/>
      </c>
      <c r="H396" s="183"/>
      <c r="I396" s="183"/>
      <c r="J396" s="59" t="str">
        <f>IF(OR(H396="",$D$10="",$N$10=""),"",IF($D$10="COBRE",VLOOKUP(CDV_PROY_BT!H396,FDV!$B$16:$E$24,IF(CDV_PROY_BT!$N$10="3F",3,4),FALSE),IF($D$10="ACS",VLOOKUP(CDV_PROY_BT!H396,FDV!$B$10:$E$15,IF(CDV_PROY_BT!$N$10="3F",3,4),FALSE),IF($D$10="5005 (PREENSAMBLADO)",VLOOKUP(CDV_PROY_BT!H396,FDV!$B$4:$E$9,IF(CDV_PROY_BT!$N$10="3F",3,4),FALSE),VLOOKUP(CDV_PROY_BT!H396,FDV!$B$25:$E$30,IF(CDV_PROY_BT!$N$10="3F",3,4),FALSE)))))</f>
        <v/>
      </c>
      <c r="K396" s="63" t="str">
        <f t="shared" si="52"/>
        <v/>
      </c>
      <c r="L396" s="62" t="str">
        <f t="shared" si="54"/>
        <v/>
      </c>
      <c r="M396" s="62" t="str">
        <f t="shared" si="55"/>
        <v/>
      </c>
      <c r="N396" s="155"/>
      <c r="U396" s="138">
        <f t="shared" si="56"/>
        <v>0</v>
      </c>
      <c r="V396" s="138">
        <f t="shared" si="57"/>
        <v>0</v>
      </c>
    </row>
    <row r="397" spans="1:22" ht="15" hidden="1">
      <c r="A397" s="167"/>
      <c r="B397" s="168"/>
      <c r="C397" s="169"/>
      <c r="D397" s="169"/>
      <c r="E397" s="170"/>
      <c r="F397" s="58" t="str">
        <f>IF($N$358="","",IF($N$358="INDUSTRIAL",IF(OR($D$356="",$D$362=""),"",IF(OR(D397&gt;$D$363,E397&gt;$D$364),"Rev. Total. abona.",IF(D397="",IF(E397="","",E397/(0.92*1000)),IF(OR($D$356="SAN CRISTOBAL",$D$356="FLOREANA"),VLOOKUP(D397,'Estratos SCY - FLO'!$A$4:$M$108,IF($D$362="A1",2,IF($D$362="A",5,IF($D$362="B",8,11))))+E397/(0.92*1000),VLOOKUP(D397,'Estratos SCX - ISA'!$A$3:$M$107,IF($D$362="A1",2,IF($D$362="A",5,IF($D$362="B",8,11))))+E397/(0.92*1000))))),IF(OR($D$356="",$D$362=""),"",IF(OR(D397&gt;$D$363,E397&gt;$D$364),"Rev. Total. abona.",IF(D397="",IF(E397="","",E397/(0.92*1000)),IF(OR($D$356="SAN CRISTOBAL",$D$356="FLOREANA"),VLOOKUP(D397,'Estratos SCY - FLO'!$O$4:$S$108,IF($D$362="A1",2,IF($D$362="A",3,IF($D$362="B",4,5))))+E397/(0.92*1000),VLOOKUP(D397,'Estratos SCX - ISA'!$O$4:$S$108,IF($D$362="A1",2,IF($D$362="A",3,IF($D$362="B",4,5))))+E397/(0.92*1000)))))))</f>
        <v/>
      </c>
      <c r="G397" s="59" t="str">
        <f t="shared" si="53"/>
        <v/>
      </c>
      <c r="H397" s="183"/>
      <c r="I397" s="183"/>
      <c r="J397" s="59" t="str">
        <f>IF(OR(H397="",$D$10="",$N$10=""),"",IF($D$10="COBRE",VLOOKUP(CDV_PROY_BT!H397,FDV!$B$16:$E$24,IF(CDV_PROY_BT!$N$10="3F",3,4),FALSE),IF($D$10="ACS",VLOOKUP(CDV_PROY_BT!H397,FDV!$B$10:$E$15,IF(CDV_PROY_BT!$N$10="3F",3,4),FALSE),IF($D$10="5005 (PREENSAMBLADO)",VLOOKUP(CDV_PROY_BT!H397,FDV!$B$4:$E$9,IF(CDV_PROY_BT!$N$10="3F",3,4),FALSE),VLOOKUP(CDV_PROY_BT!H397,FDV!$B$25:$E$30,IF(CDV_PROY_BT!$N$10="3F",3,4),FALSE)))))</f>
        <v/>
      </c>
      <c r="K397" s="63" t="str">
        <f t="shared" si="52"/>
        <v/>
      </c>
      <c r="L397" s="62" t="str">
        <f t="shared" si="54"/>
        <v/>
      </c>
      <c r="M397" s="62" t="str">
        <f t="shared" si="55"/>
        <v/>
      </c>
      <c r="N397" s="155"/>
      <c r="U397" s="138">
        <f t="shared" si="56"/>
        <v>0</v>
      </c>
      <c r="V397" s="138">
        <f t="shared" si="57"/>
        <v>0</v>
      </c>
    </row>
    <row r="398" spans="1:22" ht="15" hidden="1">
      <c r="A398" s="167"/>
      <c r="B398" s="168"/>
      <c r="C398" s="169"/>
      <c r="D398" s="169"/>
      <c r="E398" s="170"/>
      <c r="F398" s="58" t="str">
        <f>IF($N$358="","",IF($N$358="INDUSTRIAL",IF(OR($D$356="",$D$362=""),"",IF(OR(D398&gt;$D$363,E398&gt;$D$364),"Rev. Total. abona.",IF(D398="",IF(E398="","",E398/(0.92*1000)),IF(OR($D$356="SAN CRISTOBAL",$D$356="FLOREANA"),VLOOKUP(D398,'Estratos SCY - FLO'!$A$4:$M$108,IF($D$362="A1",2,IF($D$362="A",5,IF($D$362="B",8,11))))+E398/(0.92*1000),VLOOKUP(D398,'Estratos SCX - ISA'!$A$3:$M$107,IF($D$362="A1",2,IF($D$362="A",5,IF($D$362="B",8,11))))+E398/(0.92*1000))))),IF(OR($D$356="",$D$362=""),"",IF(OR(D398&gt;$D$363,E398&gt;$D$364),"Rev. Total. abona.",IF(D398="",IF(E398="","",E398/(0.92*1000)),IF(OR($D$356="SAN CRISTOBAL",$D$356="FLOREANA"),VLOOKUP(D398,'Estratos SCY - FLO'!$O$4:$S$108,IF($D$362="A1",2,IF($D$362="A",3,IF($D$362="B",4,5))))+E398/(0.92*1000),VLOOKUP(D398,'Estratos SCX - ISA'!$O$4:$S$108,IF($D$362="A1",2,IF($D$362="A",3,IF($D$362="B",4,5))))+E398/(0.92*1000)))))))</f>
        <v/>
      </c>
      <c r="G398" s="59" t="str">
        <f t="shared" si="53"/>
        <v/>
      </c>
      <c r="H398" s="183"/>
      <c r="I398" s="183"/>
      <c r="J398" s="59" t="str">
        <f>IF(OR(H398="",$D$10="",$N$10=""),"",IF($D$10="COBRE",VLOOKUP(CDV_PROY_BT!H398,FDV!$B$16:$E$24,IF(CDV_PROY_BT!$N$10="3F",3,4),FALSE),IF($D$10="ACS",VLOOKUP(CDV_PROY_BT!H398,FDV!$B$10:$E$15,IF(CDV_PROY_BT!$N$10="3F",3,4),FALSE),IF($D$10="5005 (PREENSAMBLADO)",VLOOKUP(CDV_PROY_BT!H398,FDV!$B$4:$E$9,IF(CDV_PROY_BT!$N$10="3F",3,4),FALSE),VLOOKUP(CDV_PROY_BT!H398,FDV!$B$25:$E$30,IF(CDV_PROY_BT!$N$10="3F",3,4),FALSE)))))</f>
        <v/>
      </c>
      <c r="K398" s="63" t="str">
        <f t="shared" si="52"/>
        <v/>
      </c>
      <c r="L398" s="62" t="str">
        <f t="shared" si="54"/>
        <v/>
      </c>
      <c r="M398" s="62" t="str">
        <f t="shared" si="55"/>
        <v/>
      </c>
      <c r="N398" s="156"/>
      <c r="U398" s="138">
        <f t="shared" si="56"/>
        <v>0</v>
      </c>
      <c r="V398" s="138">
        <f t="shared" si="57"/>
        <v>0</v>
      </c>
    </row>
    <row r="399" spans="1:22" ht="15.75" hidden="1" thickBot="1">
      <c r="A399" s="178"/>
      <c r="B399" s="179"/>
      <c r="C399" s="180"/>
      <c r="D399" s="180"/>
      <c r="E399" s="181"/>
      <c r="F399" s="68" t="str">
        <f>IF($N$358="","",IF($N$358="INDUSTRIAL",IF(OR($D$356="",$D$362=""),"",IF(OR(D399&gt;$D$363,E399&gt;$D$364),"Rev. Total. abona.",IF(D399="",IF(E399="","",E399/(0.92*1000)),IF(OR($D$356="SAN CRISTOBAL",$D$356="FLOREANA"),VLOOKUP(D399,'Estratos SCY - FLO'!$A$4:$M$108,IF($D$362="A1",2,IF($D$362="A",5,IF($D$362="B",8,11))))+E399/(0.92*1000),VLOOKUP(D399,'Estratos SCX - ISA'!$A$3:$M$107,IF($D$362="A1",2,IF($D$362="A",5,IF($D$362="B",8,11))))+E399/(0.92*1000))))),IF(OR($D$356="",$D$362=""),"",IF(OR(D399&gt;$D$363,E399&gt;$D$364),"Rev. Total. abona.",IF(D399="",IF(E399="","",E399/(0.92*1000)),IF(OR($D$356="SAN CRISTOBAL",$D$356="FLOREANA"),VLOOKUP(D399,'Estratos SCY - FLO'!$O$4:$S$108,IF($D$362="A1",2,IF($D$362="A",3,IF($D$362="B",4,5))))+E399/(0.92*1000),VLOOKUP(D399,'Estratos SCX - ISA'!$O$4:$S$108,IF($D$362="A1",2,IF($D$362="A",3,IF($D$362="B",4,5))))+E399/(0.92*1000)))))))</f>
        <v/>
      </c>
      <c r="G399" s="69" t="str">
        <f t="shared" si="53"/>
        <v/>
      </c>
      <c r="H399" s="184"/>
      <c r="I399" s="184"/>
      <c r="J399" s="69" t="str">
        <f>IF(OR(H399="",$D$10="",$N$10=""),"",IF($D$10="COBRE",VLOOKUP(CDV_PROY_BT!H399,FDV!$B$16:$E$24,IF(CDV_PROY_BT!$N$10="3F",3,4),FALSE),IF($D$10="ACS",VLOOKUP(CDV_PROY_BT!H399,FDV!$B$10:$E$15,IF(CDV_PROY_BT!$N$10="3F",3,4),FALSE),IF($D$10="5005 (PREENSAMBLADO)",VLOOKUP(CDV_PROY_BT!H399,FDV!$B$4:$E$9,IF(CDV_PROY_BT!$N$10="3F",3,4),FALSE),VLOOKUP(CDV_PROY_BT!H399,FDV!$B$25:$E$30,IF(CDV_PROY_BT!$N$10="3F",3,4),FALSE)))))</f>
        <v/>
      </c>
      <c r="K399" s="65" t="str">
        <f t="shared" si="52"/>
        <v/>
      </c>
      <c r="L399" s="64" t="str">
        <f t="shared" si="54"/>
        <v/>
      </c>
      <c r="M399" s="64" t="str">
        <f t="shared" si="55"/>
        <v/>
      </c>
      <c r="N399" s="157"/>
      <c r="U399" s="138">
        <f t="shared" si="56"/>
        <v>0</v>
      </c>
      <c r="V399" s="138">
        <f t="shared" si="57"/>
        <v>0</v>
      </c>
    </row>
    <row r="400" spans="1:22" ht="15.75" hidden="1" thickBot="1">
      <c r="A400" s="143"/>
      <c r="B400" s="67" t="str">
        <f>IF(N369="","",N369)</f>
        <v>P37</v>
      </c>
      <c r="C400" s="144"/>
      <c r="D400" s="144"/>
      <c r="E400" s="145"/>
      <c r="F400" s="68"/>
      <c r="G400" s="69" t="str">
        <f t="shared" si="53"/>
        <v/>
      </c>
      <c r="H400" s="146" t="e">
        <f>IF(B400="","",IF(B400-A400=1,H399,""))</f>
        <v>#VALUE!</v>
      </c>
      <c r="I400" s="146"/>
      <c r="J400" s="70" t="e">
        <f>IF(OR(H400="",$D$10="",$N$10=""),"",IF($D$10="COBRE",VLOOKUP(CDV_PROY_BT!H400,FDV!$B$16:$E$24,IF(CDV_PROY_BT!$N$10="3F",3,4),FALSE),IF($D$10="ACS",VLOOKUP(CDV_PROY_BT!H400,FDV!$B$10:$E$15,IF(CDV_PROY_BT!$N$10="3F",3,4),FALSE),IF($D$10="5005 (PREENSAMBLADO)",VLOOKUP(CDV_PROY_BT!H400,FDV!$B$4:$E$9,IF(CDV_PROY_BT!$N$10="3F",3,4),FALSE),VLOOKUP(CDV_PROY_BT!H400,FDV!$B$25:$E$30,IF(CDV_PROY_BT!$N$10="3F",3,4),FALSE)))))</f>
        <v>#VALUE!</v>
      </c>
      <c r="K400" s="71" t="str">
        <f t="shared" si="52"/>
        <v/>
      </c>
      <c r="L400" s="68" t="str">
        <f aca="true" t="shared" si="58" ref="L400">IF(C400="","",ROUND(K400/J400,2))</f>
        <v/>
      </c>
      <c r="M400" s="72">
        <v>0</v>
      </c>
      <c r="N400" s="66"/>
      <c r="U400" s="138">
        <f aca="true" t="shared" si="59" ref="U400:U401">+IF(D400&gt;0,C400,0)</f>
        <v>0</v>
      </c>
      <c r="V400" s="138">
        <f aca="true" t="shared" si="60" ref="V400:V401">IF(C400="",0,C400*G400)</f>
        <v>0</v>
      </c>
    </row>
    <row r="401" spans="1:22" ht="15.75" hidden="1" thickBot="1">
      <c r="A401" s="73" t="s">
        <v>113</v>
      </c>
      <c r="B401" s="74"/>
      <c r="C401" s="75"/>
      <c r="D401" s="75"/>
      <c r="E401" s="76"/>
      <c r="F401" s="77"/>
      <c r="G401" s="78"/>
      <c r="H401" s="79"/>
      <c r="I401" s="79"/>
      <c r="J401" s="78"/>
      <c r="K401" s="121"/>
      <c r="L401" s="121"/>
      <c r="M401" s="128"/>
      <c r="N401" s="233"/>
      <c r="U401" s="138">
        <f t="shared" si="59"/>
        <v>0</v>
      </c>
      <c r="V401" s="138">
        <f t="shared" si="60"/>
        <v>0</v>
      </c>
    </row>
    <row r="402" spans="1:14" ht="15.75" hidden="1" thickBot="1">
      <c r="A402" s="93" t="s">
        <v>96</v>
      </c>
      <c r="B402" s="94">
        <f>+ROUND(SUMIF(H373:H399,"4/0",V373:V401)*1.015,0)</f>
        <v>0</v>
      </c>
      <c r="C402" s="93" t="s">
        <v>97</v>
      </c>
      <c r="D402" s="94">
        <f>ROUND((SUMIF(H373:H399,"3/0",V373:V401))*1.015,0)</f>
        <v>0</v>
      </c>
      <c r="E402" s="82" t="s">
        <v>95</v>
      </c>
      <c r="F402" s="81">
        <f>ROUND((SUMIF(H373:H399,"2/0",V373:V401))*1.015,0)</f>
        <v>0</v>
      </c>
      <c r="G402" s="80" t="s">
        <v>57</v>
      </c>
      <c r="H402" s="81">
        <f>ROUND((SUMIF(H373:H399,"1/0",V373:V401))*1.015,0)</f>
        <v>126</v>
      </c>
      <c r="I402" s="93" t="s">
        <v>58</v>
      </c>
      <c r="J402" s="94">
        <f>ROUND((SUMIF(H373:H399,"2",V373:V401))*1.015,0)</f>
        <v>0</v>
      </c>
      <c r="K402" s="147"/>
      <c r="L402" s="91"/>
      <c r="M402" s="92"/>
      <c r="N402" s="234"/>
    </row>
    <row r="403" spans="1:14" ht="15.75" hidden="1" thickBot="1">
      <c r="A403" s="119" t="s">
        <v>107</v>
      </c>
      <c r="B403" s="92"/>
      <c r="C403" s="91"/>
      <c r="D403" s="92"/>
      <c r="E403" s="91"/>
      <c r="F403" s="92"/>
      <c r="G403" s="91"/>
      <c r="H403" s="92"/>
      <c r="I403" s="92"/>
      <c r="J403" s="91"/>
      <c r="K403" s="92"/>
      <c r="L403" s="91"/>
      <c r="M403" s="92"/>
      <c r="N403" s="234"/>
    </row>
    <row r="404" spans="1:14" ht="15.75" hidden="1" thickBot="1">
      <c r="A404" s="93" t="s">
        <v>96</v>
      </c>
      <c r="B404" s="94">
        <f>+ROUND(SUMIF(I373:I399,"4/0",U373:U401)*1.015,0)</f>
        <v>0</v>
      </c>
      <c r="C404" s="93" t="s">
        <v>97</v>
      </c>
      <c r="D404" s="94">
        <f>ROUND((SUMIF(I373:I399,"3/0",U373:U401))*1.015,0)</f>
        <v>0</v>
      </c>
      <c r="E404" s="93" t="s">
        <v>95</v>
      </c>
      <c r="F404" s="94">
        <f>ROUND((SUMIF(I373:I399,"2/0",U373:U401))*1.015,0)</f>
        <v>0</v>
      </c>
      <c r="G404" s="93" t="s">
        <v>57</v>
      </c>
      <c r="H404" s="94">
        <f>ROUND((SUMIF(I373:I399,"1/0",U373:U401))*1.015,0)</f>
        <v>126</v>
      </c>
      <c r="I404" s="93" t="s">
        <v>58</v>
      </c>
      <c r="J404" s="94">
        <f>ROUND((SUMIF(I373:I399,"2",U373:U401))*1.015,0)</f>
        <v>0</v>
      </c>
      <c r="L404" s="91"/>
      <c r="M404" s="92"/>
      <c r="N404" s="234"/>
    </row>
    <row r="405" spans="1:14" ht="15.75" hidden="1" thickBot="1">
      <c r="A405" s="235" t="s">
        <v>123</v>
      </c>
      <c r="B405" s="235"/>
      <c r="C405" s="235"/>
      <c r="D405" s="21">
        <f>IF(N360="","",SUM(C373:C399))</f>
        <v>124</v>
      </c>
      <c r="E405" s="28" t="s">
        <v>59</v>
      </c>
      <c r="G405" s="21"/>
      <c r="H405" s="21"/>
      <c r="I405" s="21"/>
      <c r="J405" s="21"/>
      <c r="K405" s="21"/>
      <c r="L405" s="21"/>
      <c r="M405" s="23"/>
      <c r="N405" s="83" t="s">
        <v>80</v>
      </c>
    </row>
    <row r="406" spans="1:14" ht="15" hidden="1">
      <c r="A406" s="36" t="s">
        <v>60</v>
      </c>
      <c r="B406" s="236"/>
      <c r="C406" s="236"/>
      <c r="D406" s="236"/>
      <c r="E406" s="236"/>
      <c r="F406" s="236"/>
      <c r="G406" s="236"/>
      <c r="H406" s="236"/>
      <c r="I406" s="236"/>
      <c r="J406" s="236"/>
      <c r="K406" s="236"/>
      <c r="L406" s="236"/>
      <c r="M406" s="237"/>
      <c r="N406" s="84" t="s">
        <v>61</v>
      </c>
    </row>
    <row r="407" spans="1:14" ht="15.75" hidden="1" thickBot="1">
      <c r="A407" s="148"/>
      <c r="B407" s="238"/>
      <c r="C407" s="238"/>
      <c r="D407" s="238"/>
      <c r="E407" s="238"/>
      <c r="F407" s="238"/>
      <c r="G407" s="238"/>
      <c r="H407" s="238"/>
      <c r="I407" s="238"/>
      <c r="J407" s="238"/>
      <c r="K407" s="238"/>
      <c r="L407" s="238"/>
      <c r="M407" s="239"/>
      <c r="N407" s="85">
        <f>MAX(N373:N399)</f>
        <v>4.8100000000000005</v>
      </c>
    </row>
    <row r="408" ht="15" hidden="1"/>
    <row r="409" ht="15" hidden="1"/>
  </sheetData>
  <mergeCells count="158">
    <mergeCell ref="A2:N2"/>
    <mergeCell ref="A4:N4"/>
    <mergeCell ref="H13:J13"/>
    <mergeCell ref="H14:J14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R15:R16"/>
    <mergeCell ref="R17:R18"/>
    <mergeCell ref="I8:J8"/>
    <mergeCell ref="U21:U22"/>
    <mergeCell ref="V21:V22"/>
    <mergeCell ref="B56:M56"/>
    <mergeCell ref="N51:N54"/>
    <mergeCell ref="B57:M57"/>
    <mergeCell ref="A55:C55"/>
    <mergeCell ref="R14:T14"/>
    <mergeCell ref="D67:F67"/>
    <mergeCell ref="D69:E69"/>
    <mergeCell ref="H72:J72"/>
    <mergeCell ref="H73:J73"/>
    <mergeCell ref="A74:J74"/>
    <mergeCell ref="A61:N61"/>
    <mergeCell ref="A63:N63"/>
    <mergeCell ref="D65:E65"/>
    <mergeCell ref="F65:G65"/>
    <mergeCell ref="H65:J65"/>
    <mergeCell ref="K65:L65"/>
    <mergeCell ref="M65:N65"/>
    <mergeCell ref="V80:V81"/>
    <mergeCell ref="N110:N113"/>
    <mergeCell ref="A114:C114"/>
    <mergeCell ref="B115:M115"/>
    <mergeCell ref="B116:M116"/>
    <mergeCell ref="A80:B80"/>
    <mergeCell ref="G80:J80"/>
    <mergeCell ref="K80:K81"/>
    <mergeCell ref="L80:N80"/>
    <mergeCell ref="U80:U81"/>
    <mergeCell ref="D126:F126"/>
    <mergeCell ref="D128:E128"/>
    <mergeCell ref="H131:J131"/>
    <mergeCell ref="H132:J132"/>
    <mergeCell ref="A133:J133"/>
    <mergeCell ref="A120:N120"/>
    <mergeCell ref="A122:N122"/>
    <mergeCell ref="D124:E124"/>
    <mergeCell ref="F124:G124"/>
    <mergeCell ref="H124:J124"/>
    <mergeCell ref="K124:L124"/>
    <mergeCell ref="M124:N124"/>
    <mergeCell ref="V139:V140"/>
    <mergeCell ref="N169:N172"/>
    <mergeCell ref="A173:C173"/>
    <mergeCell ref="B174:M174"/>
    <mergeCell ref="B175:M175"/>
    <mergeCell ref="A139:B139"/>
    <mergeCell ref="G139:J139"/>
    <mergeCell ref="K139:K140"/>
    <mergeCell ref="L139:N139"/>
    <mergeCell ref="U139:U140"/>
    <mergeCell ref="D184:F184"/>
    <mergeCell ref="D186:E186"/>
    <mergeCell ref="H189:J189"/>
    <mergeCell ref="H190:J190"/>
    <mergeCell ref="A191:J191"/>
    <mergeCell ref="A178:N178"/>
    <mergeCell ref="A180:N180"/>
    <mergeCell ref="D182:E182"/>
    <mergeCell ref="F182:G182"/>
    <mergeCell ref="H182:J182"/>
    <mergeCell ref="K182:L182"/>
    <mergeCell ref="M182:N182"/>
    <mergeCell ref="V197:V198"/>
    <mergeCell ref="N227:N230"/>
    <mergeCell ref="A231:C231"/>
    <mergeCell ref="B232:M232"/>
    <mergeCell ref="B233:M233"/>
    <mergeCell ref="A197:B197"/>
    <mergeCell ref="G197:J197"/>
    <mergeCell ref="K197:K198"/>
    <mergeCell ref="L197:N197"/>
    <mergeCell ref="U197:U198"/>
    <mergeCell ref="D242:F242"/>
    <mergeCell ref="D244:E244"/>
    <mergeCell ref="H247:J247"/>
    <mergeCell ref="H248:J248"/>
    <mergeCell ref="A249:J249"/>
    <mergeCell ref="A236:N236"/>
    <mergeCell ref="A238:N238"/>
    <mergeCell ref="D240:E240"/>
    <mergeCell ref="F240:G240"/>
    <mergeCell ref="H240:J240"/>
    <mergeCell ref="K240:L240"/>
    <mergeCell ref="M240:N240"/>
    <mergeCell ref="V255:V256"/>
    <mergeCell ref="N285:N288"/>
    <mergeCell ref="A289:C289"/>
    <mergeCell ref="B290:M290"/>
    <mergeCell ref="B291:M291"/>
    <mergeCell ref="A255:B255"/>
    <mergeCell ref="G255:J255"/>
    <mergeCell ref="K255:K256"/>
    <mergeCell ref="L255:N255"/>
    <mergeCell ref="U255:U256"/>
    <mergeCell ref="D300:F300"/>
    <mergeCell ref="D302:E302"/>
    <mergeCell ref="H305:J305"/>
    <mergeCell ref="H306:J306"/>
    <mergeCell ref="A307:J307"/>
    <mergeCell ref="A294:N294"/>
    <mergeCell ref="A296:N296"/>
    <mergeCell ref="D298:E298"/>
    <mergeCell ref="F298:G298"/>
    <mergeCell ref="H298:J298"/>
    <mergeCell ref="K298:L298"/>
    <mergeCell ref="M298:N298"/>
    <mergeCell ref="V313:V314"/>
    <mergeCell ref="N343:N346"/>
    <mergeCell ref="A347:C347"/>
    <mergeCell ref="B348:M348"/>
    <mergeCell ref="B349:M349"/>
    <mergeCell ref="A313:B313"/>
    <mergeCell ref="G313:J313"/>
    <mergeCell ref="K313:K314"/>
    <mergeCell ref="L313:N313"/>
    <mergeCell ref="U313:U314"/>
    <mergeCell ref="D358:F358"/>
    <mergeCell ref="D360:E360"/>
    <mergeCell ref="H363:J363"/>
    <mergeCell ref="H364:J364"/>
    <mergeCell ref="A365:J365"/>
    <mergeCell ref="A352:N352"/>
    <mergeCell ref="A354:N354"/>
    <mergeCell ref="D356:E356"/>
    <mergeCell ref="F356:G356"/>
    <mergeCell ref="H356:J356"/>
    <mergeCell ref="K356:L356"/>
    <mergeCell ref="M356:N356"/>
    <mergeCell ref="V371:V372"/>
    <mergeCell ref="N401:N404"/>
    <mergeCell ref="A405:C405"/>
    <mergeCell ref="B406:M406"/>
    <mergeCell ref="B407:M407"/>
    <mergeCell ref="A371:B371"/>
    <mergeCell ref="G371:J371"/>
    <mergeCell ref="K371:K372"/>
    <mergeCell ref="L371:N371"/>
    <mergeCell ref="U371:U372"/>
  </mergeCells>
  <conditionalFormatting sqref="N42:N50 N101:N109 N160:N168 N218:N226 N276:N284 N334:N342 N392:N400 N23:N4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82:N99">
    <cfRule type="expression" priority="54" dxfId="0" stopIfTrue="1">
      <formula>$X81&gt;0</formula>
    </cfRule>
  </conditionalFormatting>
  <conditionalFormatting sqref="D67">
    <cfRule type="cellIs" priority="55" dxfId="2" operator="equal" stopIfTrue="1">
      <formula>""""""</formula>
    </cfRule>
  </conditionalFormatting>
  <conditionalFormatting sqref="N100">
    <cfRule type="expression" priority="56" dxfId="0" stopIfTrue="1">
      <formula>#REF!&gt;0</formula>
    </cfRule>
  </conditionalFormatting>
  <conditionalFormatting sqref="D65 D67 D69 D71:D73 H72:H73 N78">
    <cfRule type="containsBlanks" priority="57" dxfId="7" stopIfTrue="1">
      <formula>LEN(TRIM(D65))=0</formula>
    </cfRule>
  </conditionalFormatting>
  <conditionalFormatting sqref="N141:N158">
    <cfRule type="expression" priority="50" dxfId="0" stopIfTrue="1">
      <formula>$X140&gt;0</formula>
    </cfRule>
  </conditionalFormatting>
  <conditionalFormatting sqref="D126">
    <cfRule type="cellIs" priority="51" dxfId="2" operator="equal" stopIfTrue="1">
      <formula>""""""</formula>
    </cfRule>
  </conditionalFormatting>
  <conditionalFormatting sqref="N159">
    <cfRule type="expression" priority="52" dxfId="0" stopIfTrue="1">
      <formula>#REF!&gt;0</formula>
    </cfRule>
  </conditionalFormatting>
  <conditionalFormatting sqref="D124 H124 M124 D126 D128 D130:D132 H131:H132 N137">
    <cfRule type="containsBlanks" priority="53" dxfId="7" stopIfTrue="1">
      <formula>LEN(TRIM(D124))=0</formula>
    </cfRule>
  </conditionalFormatting>
  <conditionalFormatting sqref="N199:N216">
    <cfRule type="expression" priority="46" dxfId="0" stopIfTrue="1">
      <formula>$X198&gt;0</formula>
    </cfRule>
  </conditionalFormatting>
  <conditionalFormatting sqref="D184">
    <cfRule type="cellIs" priority="47" dxfId="2" operator="equal" stopIfTrue="1">
      <formula>""""""</formula>
    </cfRule>
  </conditionalFormatting>
  <conditionalFormatting sqref="N217">
    <cfRule type="expression" priority="48" dxfId="0" stopIfTrue="1">
      <formula>#REF!&gt;0</formula>
    </cfRule>
  </conditionalFormatting>
  <conditionalFormatting sqref="D182 H182 M182 D184 D186 D188:D190 H189:H190 N195">
    <cfRule type="containsBlanks" priority="49" dxfId="7" stopIfTrue="1">
      <formula>LEN(TRIM(D182))=0</formula>
    </cfRule>
  </conditionalFormatting>
  <conditionalFormatting sqref="N257:N274">
    <cfRule type="expression" priority="42" dxfId="0" stopIfTrue="1">
      <formula>$X256&gt;0</formula>
    </cfRule>
  </conditionalFormatting>
  <conditionalFormatting sqref="D242">
    <cfRule type="cellIs" priority="43" dxfId="2" operator="equal" stopIfTrue="1">
      <formula>""""""</formula>
    </cfRule>
  </conditionalFormatting>
  <conditionalFormatting sqref="N275">
    <cfRule type="expression" priority="44" dxfId="0" stopIfTrue="1">
      <formula>#REF!&gt;0</formula>
    </cfRule>
  </conditionalFormatting>
  <conditionalFormatting sqref="D240 H240 M240 D242 D244 D246:D248 H247:H248 N253">
    <cfRule type="containsBlanks" priority="45" dxfId="7" stopIfTrue="1">
      <formula>LEN(TRIM(D240))=0</formula>
    </cfRule>
  </conditionalFormatting>
  <conditionalFormatting sqref="N315:N332">
    <cfRule type="expression" priority="38" dxfId="0" stopIfTrue="1">
      <formula>$X314&gt;0</formula>
    </cfRule>
  </conditionalFormatting>
  <conditionalFormatting sqref="D300">
    <cfRule type="cellIs" priority="39" dxfId="2" operator="equal" stopIfTrue="1">
      <formula>""""""</formula>
    </cfRule>
  </conditionalFormatting>
  <conditionalFormatting sqref="N333">
    <cfRule type="expression" priority="40" dxfId="0" stopIfTrue="1">
      <formula>#REF!&gt;0</formula>
    </cfRule>
  </conditionalFormatting>
  <conditionalFormatting sqref="D298 H298 M298 D300 D302 D304:D306 H305:H306 N311">
    <cfRule type="containsBlanks" priority="41" dxfId="7" stopIfTrue="1">
      <formula>LEN(TRIM(D298))=0</formula>
    </cfRule>
  </conditionalFormatting>
  <conditionalFormatting sqref="N373:N390">
    <cfRule type="expression" priority="34" dxfId="0" stopIfTrue="1">
      <formula>$X372&gt;0</formula>
    </cfRule>
  </conditionalFormatting>
  <conditionalFormatting sqref="D358">
    <cfRule type="cellIs" priority="35" dxfId="2" operator="equal" stopIfTrue="1">
      <formula>""""""</formula>
    </cfRule>
  </conditionalFormatting>
  <conditionalFormatting sqref="N391">
    <cfRule type="expression" priority="36" dxfId="0" stopIfTrue="1">
      <formula>#REF!&gt;0</formula>
    </cfRule>
  </conditionalFormatting>
  <conditionalFormatting sqref="D356 H356 M356 D358 D360 D362:D364 H363:H364 N369">
    <cfRule type="containsBlanks" priority="37" dxfId="7" stopIfTrue="1">
      <formula>LEN(TRIM(D356))=0</formula>
    </cfRule>
  </conditionalFormatting>
  <conditionalFormatting sqref="N360 N362">
    <cfRule type="containsBlanks" priority="26" dxfId="7" stopIfTrue="1">
      <formula>LEN(TRIM(N360))=0</formula>
    </cfRule>
  </conditionalFormatting>
  <conditionalFormatting sqref="N69 N71">
    <cfRule type="containsBlanks" priority="31" dxfId="7" stopIfTrue="1">
      <formula>LEN(TRIM(N69))=0</formula>
    </cfRule>
  </conditionalFormatting>
  <conditionalFormatting sqref="N128 N130">
    <cfRule type="containsBlanks" priority="30" dxfId="7" stopIfTrue="1">
      <formula>LEN(TRIM(N128))=0</formula>
    </cfRule>
  </conditionalFormatting>
  <conditionalFormatting sqref="N186 N188">
    <cfRule type="containsBlanks" priority="29" dxfId="7" stopIfTrue="1">
      <formula>LEN(TRIM(N186))=0</formula>
    </cfRule>
  </conditionalFormatting>
  <conditionalFormatting sqref="N244 N246">
    <cfRule type="containsBlanks" priority="28" dxfId="7" stopIfTrue="1">
      <formula>LEN(TRIM(N244))=0</formula>
    </cfRule>
  </conditionalFormatting>
  <conditionalFormatting sqref="N302 N304">
    <cfRule type="containsBlanks" priority="27" dxfId="7" stopIfTrue="1">
      <formula>LEN(TRIM(N302))=0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77">
    <cfRule type="containsBlanks" priority="23" dxfId="7" stopIfTrue="1">
      <formula>LEN(TRIM(N77))=0</formula>
    </cfRule>
  </conditionalFormatting>
  <conditionalFormatting sqref="N136">
    <cfRule type="containsBlanks" priority="22" dxfId="7" stopIfTrue="1">
      <formula>LEN(TRIM(N136))=0</formula>
    </cfRule>
  </conditionalFormatting>
  <conditionalFormatting sqref="N194">
    <cfRule type="containsBlanks" priority="21" dxfId="7" stopIfTrue="1">
      <formula>LEN(TRIM(N194))=0</formula>
    </cfRule>
  </conditionalFormatting>
  <conditionalFormatting sqref="N252">
    <cfRule type="containsBlanks" priority="20" dxfId="7" stopIfTrue="1">
      <formula>LEN(TRIM(N252))=0</formula>
    </cfRule>
  </conditionalFormatting>
  <conditionalFormatting sqref="N310">
    <cfRule type="containsBlanks" priority="19" dxfId="7" stopIfTrue="1">
      <formula>LEN(TRIM(N310))=0</formula>
    </cfRule>
  </conditionalFormatting>
  <conditionalFormatting sqref="N368">
    <cfRule type="containsBlanks" priority="18" dxfId="7" stopIfTrue="1">
      <formula>LEN(TRIM(N368))=0</formula>
    </cfRule>
  </conditionalFormatting>
  <conditionalFormatting sqref="N57">
    <cfRule type="cellIs" priority="17" dxfId="26" operator="greaterThan">
      <formula>$T$16</formula>
    </cfRule>
  </conditionalFormatting>
  <conditionalFormatting sqref="H65">
    <cfRule type="containsBlanks" priority="8" dxfId="7" stopIfTrue="1">
      <formula>LEN(TRIM(H65))=0</formula>
    </cfRule>
  </conditionalFormatting>
  <conditionalFormatting sqref="M65">
    <cfRule type="containsBlanks" priority="7" dxfId="7" stopIfTrue="1">
      <formula>LEN(TRIM(M65))=0</formula>
    </cfRule>
  </conditionalFormatting>
  <conditionalFormatting sqref="N60">
    <cfRule type="containsBlanks" priority="6" dxfId="7" stopIfTrue="1">
      <formula>LEN(TRIM(N60))=0</formula>
    </cfRule>
  </conditionalFormatting>
  <conditionalFormatting sqref="N119">
    <cfRule type="containsBlanks" priority="5" dxfId="7" stopIfTrue="1">
      <formula>LEN(TRIM(N119))=0</formula>
    </cfRule>
  </conditionalFormatting>
  <conditionalFormatting sqref="N177">
    <cfRule type="containsBlanks" priority="4" dxfId="7" stopIfTrue="1">
      <formula>LEN(TRIM(N177))=0</formula>
    </cfRule>
  </conditionalFormatting>
  <conditionalFormatting sqref="N235">
    <cfRule type="containsBlanks" priority="3" dxfId="7" stopIfTrue="1">
      <formula>LEN(TRIM(N235))=0</formula>
    </cfRule>
  </conditionalFormatting>
  <conditionalFormatting sqref="N293">
    <cfRule type="containsBlanks" priority="2" dxfId="7" stopIfTrue="1">
      <formula>LEN(TRIM(N293))=0</formula>
    </cfRule>
  </conditionalFormatting>
  <conditionalFormatting sqref="N351">
    <cfRule type="containsBlanks" priority="1" dxfId="7" stopIfTrue="1">
      <formula>LEN(TRIM(N351))=0</formula>
    </cfRule>
  </conditionalFormatting>
  <dataValidations count="8">
    <dataValidation type="list" allowBlank="1" showInputMessage="1" showErrorMessage="1" sqref="N10 N302 N69 N128 N186 N244 N360">
      <formula1>$AB$5:$AB$6</formula1>
    </dataValidation>
    <dataValidation type="list" allowBlank="1" showInputMessage="1" showErrorMessage="1" sqref="D10 D69 D128 D186 D244 D302 D360">
      <formula1>$Y$5:$Y$8</formula1>
    </dataValidation>
    <dataValidation type="list" allowBlank="1" showInputMessage="1" showErrorMessage="1" sqref="D6 D65 D124 D182 D240 D298 D356">
      <formula1>$U$5:$U$8</formula1>
    </dataValidation>
    <dataValidation type="list" allowBlank="1" showInputMessage="1" showErrorMessage="1" sqref="D12 D71 D130 D188 D246 D304 D362">
      <formula1>$AA$5:$AA$8</formula1>
    </dataValidation>
    <dataValidation type="list" allowBlank="1" showInputMessage="1" showErrorMessage="1" sqref="D8 D67 D126 D184 D242 D300 D358">
      <formula1>$W$5:$W$7</formula1>
    </dataValidation>
    <dataValidation type="list" allowBlank="1" showInputMessage="1" showErrorMessage="1" sqref="H23:I49 H82:I108 H141:I167 H199:I225 H257:I283 H315:I341 H373:I399">
      <formula1>$AC$5:$AC$9</formula1>
    </dataValidation>
    <dataValidation type="list" allowBlank="1" showInputMessage="1" showErrorMessage="1" sqref="N8 N67 N126 N184 N242 N300 N358">
      <formula1>$AD$5:$AD$7</formula1>
    </dataValidation>
    <dataValidation type="list" allowBlank="1" showInputMessage="1" showErrorMessage="1" sqref="N11 N70 N129 N187 N245 N303 N361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rowBreaks count="6" manualBreakCount="6">
    <brk id="58" max="16383" man="1"/>
    <brk id="117" max="16383" man="1"/>
    <brk id="176" max="16383" man="1"/>
    <brk id="234" max="16383" man="1"/>
    <brk id="292" max="16383" man="1"/>
    <brk id="350" max="16383" man="1"/>
  </rowBreaks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6"/>
  <sheetViews>
    <sheetView zoomScale="85" zoomScaleNormal="85" zoomScalePageLayoutView="55" workbookViewId="0" topLeftCell="A10">
      <selection activeCell="S24" sqref="S24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61" t="s">
        <v>214</v>
      </c>
    </row>
    <row r="2" spans="1:14" ht="18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8">
      <c r="A3" s="196"/>
      <c r="B3" s="196"/>
      <c r="C3" s="196"/>
      <c r="D3" s="196"/>
      <c r="E3" s="196"/>
      <c r="F3" s="22" t="str">
        <f>+CDV_PROY_BT!F3</f>
        <v xml:space="preserve">   JEFATURA DE PLANIFICACION</v>
      </c>
      <c r="G3" s="196"/>
      <c r="H3" s="196"/>
      <c r="I3" s="196"/>
      <c r="J3" s="196"/>
      <c r="K3" s="196"/>
      <c r="L3" s="196"/>
      <c r="M3" s="196"/>
      <c r="N3" s="87"/>
    </row>
    <row r="4" spans="1:31" ht="15.75">
      <c r="A4" s="257" t="s">
        <v>173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160</v>
      </c>
      <c r="AE4" s="138" t="s">
        <v>166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161</v>
      </c>
      <c r="AE5" s="138">
        <v>0.65</v>
      </c>
    </row>
    <row r="6" spans="1:31" ht="15.75" thickBot="1">
      <c r="A6" s="25" t="s">
        <v>23</v>
      </c>
      <c r="B6" s="26"/>
      <c r="C6" s="88"/>
      <c r="D6" s="245" t="s">
        <v>67</v>
      </c>
      <c r="E6" s="247"/>
      <c r="F6" s="280" t="s">
        <v>179</v>
      </c>
      <c r="G6" s="281"/>
      <c r="H6" s="260" t="s">
        <v>91</v>
      </c>
      <c r="I6" s="261"/>
      <c r="J6" s="262"/>
      <c r="K6" s="263" t="s">
        <v>81</v>
      </c>
      <c r="L6" s="264"/>
      <c r="M6" s="265" t="s">
        <v>210</v>
      </c>
      <c r="N6" s="266"/>
      <c r="Q6" s="195"/>
      <c r="R6" s="195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162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163</v>
      </c>
      <c r="AE7" s="138">
        <v>0.8</v>
      </c>
    </row>
    <row r="8" spans="1:31" ht="15.75" thickBot="1">
      <c r="A8" s="25" t="s">
        <v>24</v>
      </c>
      <c r="B8" s="26"/>
      <c r="C8" s="26"/>
      <c r="D8" s="245" t="s">
        <v>83</v>
      </c>
      <c r="E8" s="246"/>
      <c r="F8" s="247"/>
      <c r="G8" s="25"/>
      <c r="H8" s="29"/>
      <c r="I8" s="29"/>
      <c r="J8" s="26"/>
      <c r="K8" s="26"/>
      <c r="L8" s="26"/>
      <c r="M8" s="26"/>
      <c r="N8" s="209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5"/>
      <c r="M9" s="23"/>
      <c r="N9" s="210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8" t="s">
        <v>70</v>
      </c>
      <c r="E10" s="282"/>
      <c r="F10" s="282"/>
      <c r="G10" s="249"/>
      <c r="H10" s="18"/>
      <c r="I10" s="18"/>
      <c r="J10" s="18"/>
      <c r="K10" s="23"/>
      <c r="L10" s="220" t="s">
        <v>175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172</v>
      </c>
      <c r="L11" s="29"/>
      <c r="M11" s="217"/>
      <c r="N11" s="206" t="str">
        <f>IF(N10="","",IF(N10="3F","13.8 KV","7.97 kV"))</f>
        <v>7.97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174</v>
      </c>
      <c r="B12" s="37"/>
      <c r="C12" s="37"/>
      <c r="D12" s="150">
        <v>3</v>
      </c>
      <c r="E12" s="38"/>
      <c r="F12" s="39"/>
      <c r="G12" s="39"/>
      <c r="H12" s="39"/>
      <c r="I12" s="39"/>
      <c r="J12" s="37"/>
      <c r="K12" s="25" t="s">
        <v>176</v>
      </c>
      <c r="L12" s="26"/>
      <c r="M12" s="218"/>
      <c r="N12" s="219">
        <v>30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4</v>
      </c>
      <c r="E13" s="21"/>
      <c r="F13" s="28"/>
      <c r="G13" s="42" t="s">
        <v>32</v>
      </c>
      <c r="H13" s="271" t="str">
        <f>+CDV_PROY_BT!H13</f>
        <v>Jefatura de Planificación</v>
      </c>
      <c r="I13" s="272"/>
      <c r="J13" s="289"/>
      <c r="K13" s="213"/>
      <c r="L13" s="21"/>
      <c r="M13" s="211"/>
      <c r="N13" s="214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f>90*3</f>
        <v>270</v>
      </c>
      <c r="E14" s="41"/>
      <c r="F14" s="28"/>
      <c r="G14" s="42" t="s">
        <v>35</v>
      </c>
      <c r="H14" s="290">
        <v>43598</v>
      </c>
      <c r="I14" s="291"/>
      <c r="J14" s="292"/>
      <c r="K14" s="41"/>
      <c r="L14" s="21"/>
      <c r="M14" s="211"/>
      <c r="N14" s="215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44"/>
      <c r="L15" s="34"/>
      <c r="M15" s="212"/>
      <c r="N15" s="216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180</v>
      </c>
      <c r="L18" s="21"/>
      <c r="M18" s="21"/>
      <c r="N18" s="163">
        <v>0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178</v>
      </c>
      <c r="M19" s="142"/>
      <c r="N19" s="163" t="s">
        <v>215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40" t="s">
        <v>38</v>
      </c>
      <c r="B21" s="241"/>
      <c r="C21" s="287" t="s">
        <v>39</v>
      </c>
      <c r="D21" s="288"/>
      <c r="E21" s="283" t="s">
        <v>42</v>
      </c>
      <c r="F21" s="284"/>
      <c r="G21" s="240" t="s">
        <v>43</v>
      </c>
      <c r="H21" s="242"/>
      <c r="I21" s="242"/>
      <c r="J21" s="241"/>
      <c r="K21" s="243" t="s">
        <v>181</v>
      </c>
      <c r="L21" s="242" t="s">
        <v>45</v>
      </c>
      <c r="M21" s="242"/>
      <c r="N21" s="241"/>
      <c r="U21" s="232" t="s">
        <v>98</v>
      </c>
      <c r="V21" s="232" t="s">
        <v>99</v>
      </c>
    </row>
    <row r="22" spans="1:22" ht="15.75" thickBot="1">
      <c r="A22" s="52" t="s">
        <v>46</v>
      </c>
      <c r="B22" s="52" t="s">
        <v>47</v>
      </c>
      <c r="C22" s="285" t="s">
        <v>48</v>
      </c>
      <c r="D22" s="286"/>
      <c r="E22" s="285" t="s">
        <v>177</v>
      </c>
      <c r="F22" s="286"/>
      <c r="G22" s="56" t="s">
        <v>52</v>
      </c>
      <c r="H22" s="43" t="s">
        <v>105</v>
      </c>
      <c r="I22" s="124" t="s">
        <v>106</v>
      </c>
      <c r="J22" s="43" t="s">
        <v>53</v>
      </c>
      <c r="K22" s="244"/>
      <c r="L22" s="53" t="s">
        <v>54</v>
      </c>
      <c r="M22" s="43" t="s">
        <v>55</v>
      </c>
      <c r="N22" s="57" t="s">
        <v>56</v>
      </c>
      <c r="P22" s="270" t="s">
        <v>192</v>
      </c>
      <c r="Q22" s="270"/>
      <c r="R22" s="270"/>
      <c r="U22" s="232"/>
      <c r="V22" s="232"/>
    </row>
    <row r="23" spans="1:22" ht="15">
      <c r="A23" s="191" t="s">
        <v>215</v>
      </c>
      <c r="B23" s="164" t="s">
        <v>216</v>
      </c>
      <c r="C23" s="279">
        <v>151</v>
      </c>
      <c r="D23" s="279"/>
      <c r="E23" s="293">
        <v>30</v>
      </c>
      <c r="F23" s="294"/>
      <c r="G23" s="95">
        <f aca="true" t="shared" si="0" ref="G23:G49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203</v>
      </c>
      <c r="K23" s="60">
        <f>IF(C23="","",ROUND(E23*C23/1000,0))</f>
        <v>5</v>
      </c>
      <c r="L23" s="61">
        <f aca="true" t="shared" si="1" ref="L23:L49">IF($N$19="","",IF(C23="","",ROUND(K23/J23,2)))</f>
        <v>0.02</v>
      </c>
      <c r="M23" s="61">
        <f>IF(C23="","",VLOOKUP(A23,$B$23:$N$50,12,FALSE)+L23+N18)</f>
        <v>0.02</v>
      </c>
      <c r="N23" s="154"/>
      <c r="P23" s="267" t="s">
        <v>190</v>
      </c>
      <c r="Q23" s="221" t="s">
        <v>188</v>
      </c>
      <c r="R23" s="223">
        <v>3</v>
      </c>
      <c r="U23" s="138">
        <f aca="true" t="shared" si="2" ref="U23:U50">+IF(C23="",0,C23)</f>
        <v>151</v>
      </c>
      <c r="V23" s="138">
        <f aca="true" t="shared" si="3" ref="V23:V50">IF(OR(C23="",G23=""),0,C23*G23)</f>
        <v>151</v>
      </c>
    </row>
    <row r="24" spans="1:22" ht="15">
      <c r="A24" s="167" t="s">
        <v>216</v>
      </c>
      <c r="B24" s="168" t="s">
        <v>217</v>
      </c>
      <c r="C24" s="273">
        <v>113</v>
      </c>
      <c r="D24" s="273"/>
      <c r="E24" s="274">
        <v>20</v>
      </c>
      <c r="F24" s="275"/>
      <c r="G24" s="59">
        <f t="shared" si="0"/>
        <v>1</v>
      </c>
      <c r="H24" s="183">
        <v>2</v>
      </c>
      <c r="I24" s="183">
        <v>2</v>
      </c>
      <c r="J24" s="59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>203</v>
      </c>
      <c r="K24" s="63">
        <f aca="true" t="shared" si="4" ref="K24:K49">IF(C24="","",ROUND(E24*C24/1000,0))</f>
        <v>2</v>
      </c>
      <c r="L24" s="62">
        <f t="shared" si="1"/>
        <v>0.01</v>
      </c>
      <c r="M24" s="62">
        <f aca="true" t="shared" si="5" ref="M24:M49">IF(C24="","",VLOOKUP(A24,$B$23:$N$50,12,FALSE)+L24)</f>
        <v>0.03</v>
      </c>
      <c r="N24" s="155"/>
      <c r="P24" s="267"/>
      <c r="Q24" s="221" t="s">
        <v>189</v>
      </c>
      <c r="R24" s="223">
        <v>5</v>
      </c>
      <c r="U24" s="138">
        <f t="shared" si="2"/>
        <v>113</v>
      </c>
      <c r="V24" s="138">
        <f t="shared" si="3"/>
        <v>113</v>
      </c>
    </row>
    <row r="25" spans="1:22" ht="15">
      <c r="A25" s="167" t="s">
        <v>217</v>
      </c>
      <c r="B25" s="168" t="s">
        <v>207</v>
      </c>
      <c r="C25" s="273">
        <v>93</v>
      </c>
      <c r="D25" s="273"/>
      <c r="E25" s="274">
        <v>20</v>
      </c>
      <c r="F25" s="275"/>
      <c r="G25" s="59">
        <f t="shared" si="0"/>
        <v>1</v>
      </c>
      <c r="H25" s="183">
        <v>2</v>
      </c>
      <c r="I25" s="183">
        <v>2</v>
      </c>
      <c r="J25" s="59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>203</v>
      </c>
      <c r="K25" s="63">
        <f t="shared" si="4"/>
        <v>2</v>
      </c>
      <c r="L25" s="62">
        <f t="shared" si="1"/>
        <v>0.01</v>
      </c>
      <c r="M25" s="62">
        <f t="shared" si="5"/>
        <v>0.04</v>
      </c>
      <c r="N25" s="155"/>
      <c r="P25" s="267" t="s">
        <v>191</v>
      </c>
      <c r="Q25" s="221" t="s">
        <v>188</v>
      </c>
      <c r="R25" s="223">
        <v>3</v>
      </c>
      <c r="U25" s="138">
        <f t="shared" si="2"/>
        <v>93</v>
      </c>
      <c r="V25" s="138">
        <f t="shared" si="3"/>
        <v>93</v>
      </c>
    </row>
    <row r="26" spans="1:22" ht="15">
      <c r="A26" s="167" t="s">
        <v>207</v>
      </c>
      <c r="B26" s="168" t="s">
        <v>206</v>
      </c>
      <c r="C26" s="273">
        <v>85</v>
      </c>
      <c r="D26" s="273"/>
      <c r="E26" s="274">
        <v>20</v>
      </c>
      <c r="F26" s="275"/>
      <c r="G26" s="59">
        <f t="shared" si="0"/>
        <v>1</v>
      </c>
      <c r="H26" s="183">
        <v>2</v>
      </c>
      <c r="I26" s="183">
        <v>2</v>
      </c>
      <c r="J26" s="59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>203</v>
      </c>
      <c r="K26" s="63">
        <f t="shared" si="4"/>
        <v>2</v>
      </c>
      <c r="L26" s="62">
        <f t="shared" si="1"/>
        <v>0.01</v>
      </c>
      <c r="M26" s="62">
        <f t="shared" si="5"/>
        <v>0.05</v>
      </c>
      <c r="N26" s="155"/>
      <c r="P26" s="267"/>
      <c r="Q26" s="221" t="s">
        <v>189</v>
      </c>
      <c r="R26" s="223">
        <v>5</v>
      </c>
      <c r="U26" s="138">
        <f t="shared" si="2"/>
        <v>85</v>
      </c>
      <c r="V26" s="138">
        <f t="shared" si="3"/>
        <v>85</v>
      </c>
    </row>
    <row r="27" spans="1:22" ht="15">
      <c r="A27" s="167" t="s">
        <v>206</v>
      </c>
      <c r="B27" s="168" t="s">
        <v>208</v>
      </c>
      <c r="C27" s="273">
        <v>124</v>
      </c>
      <c r="D27" s="273"/>
      <c r="E27" s="274">
        <v>10</v>
      </c>
      <c r="F27" s="275"/>
      <c r="G27" s="59">
        <f t="shared" si="0"/>
        <v>1</v>
      </c>
      <c r="H27" s="183">
        <v>2</v>
      </c>
      <c r="I27" s="183">
        <v>2</v>
      </c>
      <c r="J27" s="59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>203</v>
      </c>
      <c r="K27" s="63">
        <f t="shared" si="4"/>
        <v>1</v>
      </c>
      <c r="L27" s="62">
        <f t="shared" si="1"/>
        <v>0</v>
      </c>
      <c r="M27" s="62">
        <f t="shared" si="5"/>
        <v>0.05</v>
      </c>
      <c r="N27" s="155"/>
      <c r="U27" s="138">
        <f t="shared" si="2"/>
        <v>124</v>
      </c>
      <c r="V27" s="138">
        <f t="shared" si="3"/>
        <v>124</v>
      </c>
    </row>
    <row r="28" spans="1:22" ht="15">
      <c r="A28" s="167" t="s">
        <v>208</v>
      </c>
      <c r="B28" s="168" t="s">
        <v>222</v>
      </c>
      <c r="C28" s="273">
        <v>115</v>
      </c>
      <c r="D28" s="273"/>
      <c r="E28" s="274">
        <v>10</v>
      </c>
      <c r="F28" s="275"/>
      <c r="G28" s="59">
        <f t="shared" si="0"/>
        <v>1</v>
      </c>
      <c r="H28" s="183">
        <v>2</v>
      </c>
      <c r="I28" s="183">
        <v>2</v>
      </c>
      <c r="J28" s="59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>203</v>
      </c>
      <c r="K28" s="63">
        <f t="shared" si="4"/>
        <v>1</v>
      </c>
      <c r="L28" s="62">
        <f t="shared" si="1"/>
        <v>0</v>
      </c>
      <c r="M28" s="62">
        <f t="shared" si="5"/>
        <v>0.05</v>
      </c>
      <c r="N28" s="155"/>
      <c r="U28" s="138">
        <f t="shared" si="2"/>
        <v>115</v>
      </c>
      <c r="V28" s="138">
        <f t="shared" si="3"/>
        <v>115</v>
      </c>
    </row>
    <row r="29" spans="1:22" ht="15">
      <c r="A29" s="167" t="s">
        <v>222</v>
      </c>
      <c r="B29" s="168" t="s">
        <v>209</v>
      </c>
      <c r="C29" s="273">
        <v>115</v>
      </c>
      <c r="D29" s="273"/>
      <c r="E29" s="274">
        <v>10</v>
      </c>
      <c r="F29" s="275"/>
      <c r="G29" s="59">
        <f t="shared" si="0"/>
        <v>1</v>
      </c>
      <c r="H29" s="183">
        <v>2</v>
      </c>
      <c r="I29" s="183">
        <v>2</v>
      </c>
      <c r="J29" s="59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>203</v>
      </c>
      <c r="K29" s="63">
        <f t="shared" si="4"/>
        <v>1</v>
      </c>
      <c r="L29" s="62">
        <f t="shared" si="1"/>
        <v>0</v>
      </c>
      <c r="M29" s="62">
        <f t="shared" si="5"/>
        <v>0.05</v>
      </c>
      <c r="N29" s="155"/>
      <c r="U29" s="138">
        <f t="shared" si="2"/>
        <v>115</v>
      </c>
      <c r="V29" s="138">
        <f t="shared" si="3"/>
        <v>115</v>
      </c>
    </row>
    <row r="30" spans="1:22" ht="15">
      <c r="A30" s="167" t="s">
        <v>209</v>
      </c>
      <c r="B30" s="168" t="s">
        <v>137</v>
      </c>
      <c r="C30" s="273">
        <v>115</v>
      </c>
      <c r="D30" s="273"/>
      <c r="E30" s="274">
        <v>10</v>
      </c>
      <c r="F30" s="275"/>
      <c r="G30" s="59">
        <f t="shared" si="0"/>
        <v>1</v>
      </c>
      <c r="H30" s="183">
        <v>2</v>
      </c>
      <c r="I30" s="183">
        <v>2</v>
      </c>
      <c r="J30" s="59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>203</v>
      </c>
      <c r="K30" s="63">
        <f t="shared" si="4"/>
        <v>1</v>
      </c>
      <c r="L30" s="62">
        <f t="shared" si="1"/>
        <v>0</v>
      </c>
      <c r="M30" s="62">
        <f t="shared" si="5"/>
        <v>0.05</v>
      </c>
      <c r="N30" s="155"/>
      <c r="U30" s="138">
        <f t="shared" si="2"/>
        <v>115</v>
      </c>
      <c r="V30" s="138">
        <f t="shared" si="3"/>
        <v>115</v>
      </c>
    </row>
    <row r="31" spans="1:22" ht="15">
      <c r="A31" s="167" t="s">
        <v>137</v>
      </c>
      <c r="B31" s="168" t="s">
        <v>136</v>
      </c>
      <c r="C31" s="273">
        <v>115</v>
      </c>
      <c r="D31" s="273"/>
      <c r="E31" s="274">
        <v>10</v>
      </c>
      <c r="F31" s="275"/>
      <c r="G31" s="59">
        <f t="shared" si="0"/>
        <v>1</v>
      </c>
      <c r="H31" s="183">
        <v>2</v>
      </c>
      <c r="I31" s="183">
        <v>2</v>
      </c>
      <c r="J31" s="59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>203</v>
      </c>
      <c r="K31" s="63">
        <f t="shared" si="4"/>
        <v>1</v>
      </c>
      <c r="L31" s="62">
        <f t="shared" si="1"/>
        <v>0</v>
      </c>
      <c r="M31" s="62">
        <f t="shared" si="5"/>
        <v>0.05</v>
      </c>
      <c r="N31" s="155"/>
      <c r="U31" s="138">
        <f t="shared" si="2"/>
        <v>115</v>
      </c>
      <c r="V31" s="138">
        <f t="shared" si="3"/>
        <v>115</v>
      </c>
    </row>
    <row r="32" spans="1:22" ht="15">
      <c r="A32" s="167" t="s">
        <v>136</v>
      </c>
      <c r="B32" s="168" t="s">
        <v>128</v>
      </c>
      <c r="C32" s="273">
        <v>115</v>
      </c>
      <c r="D32" s="273"/>
      <c r="E32" s="274">
        <v>10</v>
      </c>
      <c r="F32" s="275"/>
      <c r="G32" s="59">
        <f t="shared" si="0"/>
        <v>1</v>
      </c>
      <c r="H32" s="183">
        <v>2</v>
      </c>
      <c r="I32" s="183">
        <v>2</v>
      </c>
      <c r="J32" s="59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>203</v>
      </c>
      <c r="K32" s="63">
        <f t="shared" si="4"/>
        <v>1</v>
      </c>
      <c r="L32" s="62">
        <f t="shared" si="1"/>
        <v>0</v>
      </c>
      <c r="M32" s="62">
        <f t="shared" si="5"/>
        <v>0.05</v>
      </c>
      <c r="N32" s="155"/>
      <c r="U32" s="138">
        <f t="shared" si="2"/>
        <v>115</v>
      </c>
      <c r="V32" s="138">
        <f t="shared" si="3"/>
        <v>115</v>
      </c>
    </row>
    <row r="33" spans="1:22" ht="15">
      <c r="A33" s="167" t="s">
        <v>128</v>
      </c>
      <c r="B33" s="168" t="s">
        <v>218</v>
      </c>
      <c r="C33" s="273">
        <v>115</v>
      </c>
      <c r="D33" s="273"/>
      <c r="E33" s="274">
        <v>10</v>
      </c>
      <c r="F33" s="275"/>
      <c r="G33" s="59">
        <f t="shared" si="0"/>
        <v>1</v>
      </c>
      <c r="H33" s="183">
        <v>2</v>
      </c>
      <c r="I33" s="183">
        <v>2</v>
      </c>
      <c r="J33" s="59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>203</v>
      </c>
      <c r="K33" s="63">
        <f t="shared" si="4"/>
        <v>1</v>
      </c>
      <c r="L33" s="62">
        <f t="shared" si="1"/>
        <v>0</v>
      </c>
      <c r="M33" s="62">
        <f t="shared" si="5"/>
        <v>0.05</v>
      </c>
      <c r="N33" s="155"/>
      <c r="U33" s="138">
        <f t="shared" si="2"/>
        <v>115</v>
      </c>
      <c r="V33" s="138">
        <f t="shared" si="3"/>
        <v>115</v>
      </c>
    </row>
    <row r="34" spans="1:22" ht="15">
      <c r="A34" s="167" t="s">
        <v>218</v>
      </c>
      <c r="B34" s="168" t="s">
        <v>219</v>
      </c>
      <c r="C34" s="273">
        <v>115</v>
      </c>
      <c r="D34" s="273"/>
      <c r="E34" s="274">
        <v>10</v>
      </c>
      <c r="F34" s="275"/>
      <c r="G34" s="59">
        <f t="shared" si="0"/>
        <v>1</v>
      </c>
      <c r="H34" s="183">
        <v>2</v>
      </c>
      <c r="I34" s="183">
        <v>2</v>
      </c>
      <c r="J34" s="59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>203</v>
      </c>
      <c r="K34" s="63">
        <f t="shared" si="4"/>
        <v>1</v>
      </c>
      <c r="L34" s="62">
        <f t="shared" si="1"/>
        <v>0</v>
      </c>
      <c r="M34" s="62">
        <f t="shared" si="5"/>
        <v>0.05</v>
      </c>
      <c r="N34" s="155"/>
      <c r="U34" s="138">
        <f t="shared" si="2"/>
        <v>115</v>
      </c>
      <c r="V34" s="138">
        <f t="shared" si="3"/>
        <v>115</v>
      </c>
    </row>
    <row r="35" spans="1:22" ht="15">
      <c r="A35" s="167" t="s">
        <v>219</v>
      </c>
      <c r="B35" s="168" t="s">
        <v>220</v>
      </c>
      <c r="C35" s="273">
        <v>115</v>
      </c>
      <c r="D35" s="273"/>
      <c r="E35" s="274">
        <v>10</v>
      </c>
      <c r="F35" s="275"/>
      <c r="G35" s="59">
        <f t="shared" si="0"/>
        <v>1</v>
      </c>
      <c r="H35" s="183">
        <v>2</v>
      </c>
      <c r="I35" s="183">
        <v>2</v>
      </c>
      <c r="J35" s="59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>203</v>
      </c>
      <c r="K35" s="63">
        <f t="shared" si="4"/>
        <v>1</v>
      </c>
      <c r="L35" s="62">
        <f t="shared" si="1"/>
        <v>0</v>
      </c>
      <c r="M35" s="62">
        <f t="shared" si="5"/>
        <v>0.05</v>
      </c>
      <c r="N35" s="155"/>
      <c r="U35" s="138">
        <f t="shared" si="2"/>
        <v>115</v>
      </c>
      <c r="V35" s="138">
        <f t="shared" si="3"/>
        <v>115</v>
      </c>
    </row>
    <row r="36" spans="1:22" ht="15">
      <c r="A36" s="167" t="s">
        <v>220</v>
      </c>
      <c r="B36" s="168" t="s">
        <v>221</v>
      </c>
      <c r="C36" s="273">
        <v>127</v>
      </c>
      <c r="D36" s="273"/>
      <c r="E36" s="274">
        <v>10</v>
      </c>
      <c r="F36" s="275"/>
      <c r="G36" s="59">
        <f t="shared" si="0"/>
        <v>1</v>
      </c>
      <c r="H36" s="183">
        <v>2</v>
      </c>
      <c r="I36" s="183">
        <v>2</v>
      </c>
      <c r="J36" s="59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>203</v>
      </c>
      <c r="K36" s="63">
        <f t="shared" si="4"/>
        <v>1</v>
      </c>
      <c r="L36" s="62">
        <f t="shared" si="1"/>
        <v>0</v>
      </c>
      <c r="M36" s="62">
        <f t="shared" si="5"/>
        <v>0.05</v>
      </c>
      <c r="N36" s="155">
        <f>+M36</f>
        <v>0.05</v>
      </c>
      <c r="U36" s="138">
        <f t="shared" si="2"/>
        <v>127</v>
      </c>
      <c r="V36" s="138">
        <f t="shared" si="3"/>
        <v>127</v>
      </c>
    </row>
    <row r="37" spans="1:22" ht="15">
      <c r="A37" s="167"/>
      <c r="B37" s="168"/>
      <c r="C37" s="273"/>
      <c r="D37" s="273"/>
      <c r="E37" s="274"/>
      <c r="F37" s="275"/>
      <c r="G37" s="59" t="str">
        <f t="shared" si="0"/>
        <v/>
      </c>
      <c r="H37" s="183"/>
      <c r="I37" s="183"/>
      <c r="J37" s="59" t="str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/>
      </c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73"/>
      <c r="D38" s="273"/>
      <c r="E38" s="274"/>
      <c r="F38" s="275"/>
      <c r="G38" s="59" t="str">
        <f t="shared" si="0"/>
        <v/>
      </c>
      <c r="H38" s="183"/>
      <c r="I38" s="183"/>
      <c r="J38" s="59" t="str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/>
      </c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73"/>
      <c r="D39" s="273"/>
      <c r="E39" s="274"/>
      <c r="F39" s="275"/>
      <c r="G39" s="59" t="str">
        <f t="shared" si="0"/>
        <v/>
      </c>
      <c r="H39" s="183"/>
      <c r="I39" s="183"/>
      <c r="J39" s="59" t="str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/>
      </c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/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73"/>
      <c r="D40" s="273"/>
      <c r="E40" s="274"/>
      <c r="F40" s="275"/>
      <c r="G40" s="59" t="str">
        <f t="shared" si="0"/>
        <v/>
      </c>
      <c r="H40" s="183"/>
      <c r="I40" s="183"/>
      <c r="J40" s="59" t="str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/>
      </c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73"/>
      <c r="D41" s="273"/>
      <c r="E41" s="274"/>
      <c r="F41" s="275"/>
      <c r="G41" s="59" t="str">
        <f t="shared" si="0"/>
        <v/>
      </c>
      <c r="H41" s="183"/>
      <c r="I41" s="183"/>
      <c r="J41" s="59" t="str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/>
      </c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/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73"/>
      <c r="D42" s="273"/>
      <c r="E42" s="274"/>
      <c r="F42" s="275"/>
      <c r="G42" s="59" t="str">
        <f t="shared" si="0"/>
        <v/>
      </c>
      <c r="H42" s="183"/>
      <c r="I42" s="183"/>
      <c r="J42" s="59" t="str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/>
      </c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73"/>
      <c r="D43" s="273"/>
      <c r="E43" s="274"/>
      <c r="F43" s="275"/>
      <c r="G43" s="59" t="str">
        <f t="shared" si="0"/>
        <v/>
      </c>
      <c r="H43" s="183"/>
      <c r="I43" s="183"/>
      <c r="J43" s="59" t="str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/>
      </c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73"/>
      <c r="D44" s="273"/>
      <c r="E44" s="274"/>
      <c r="F44" s="275"/>
      <c r="G44" s="59" t="str">
        <f t="shared" si="0"/>
        <v/>
      </c>
      <c r="H44" s="183"/>
      <c r="I44" s="183"/>
      <c r="J44" s="59" t="str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/>
      </c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73"/>
      <c r="D45" s="273"/>
      <c r="E45" s="274"/>
      <c r="F45" s="275"/>
      <c r="G45" s="59" t="str">
        <f t="shared" si="0"/>
        <v/>
      </c>
      <c r="H45" s="183"/>
      <c r="I45" s="183"/>
      <c r="J45" s="59" t="str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/>
      </c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/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73"/>
      <c r="D46" s="273"/>
      <c r="E46" s="274"/>
      <c r="F46" s="275"/>
      <c r="G46" s="59" t="str">
        <f t="shared" si="0"/>
        <v/>
      </c>
      <c r="H46" s="183"/>
      <c r="I46" s="183"/>
      <c r="J46" s="59" t="str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/>
      </c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73"/>
      <c r="D47" s="273"/>
      <c r="E47" s="274"/>
      <c r="F47" s="275"/>
      <c r="G47" s="59" t="str">
        <f t="shared" si="0"/>
        <v/>
      </c>
      <c r="H47" s="183"/>
      <c r="I47" s="183"/>
      <c r="J47" s="59" t="str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/>
      </c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73"/>
      <c r="D48" s="273"/>
      <c r="E48" s="274"/>
      <c r="F48" s="275"/>
      <c r="G48" s="59" t="str">
        <f t="shared" si="0"/>
        <v/>
      </c>
      <c r="H48" s="183"/>
      <c r="I48" s="183"/>
      <c r="J48" s="59" t="str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/>
      </c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76"/>
      <c r="D49" s="276"/>
      <c r="E49" s="277"/>
      <c r="F49" s="278"/>
      <c r="G49" s="69" t="str">
        <f t="shared" si="0"/>
        <v/>
      </c>
      <c r="H49" s="184"/>
      <c r="I49" s="184"/>
      <c r="J49" s="69" t="str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/>
      </c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Pe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33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1637</v>
      </c>
      <c r="K52" s="147"/>
      <c r="L52" s="91"/>
      <c r="M52" s="92"/>
      <c r="N52" s="234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34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1637</v>
      </c>
      <c r="L54" s="91"/>
      <c r="M54" s="92"/>
      <c r="N54" s="234"/>
    </row>
    <row r="55" spans="1:14" ht="15.75" thickBot="1">
      <c r="A55" s="235" t="s">
        <v>123</v>
      </c>
      <c r="B55" s="235"/>
      <c r="C55" s="235"/>
      <c r="D55" s="21">
        <f>IF(N10="","",SUM(C23:C49))</f>
        <v>1613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84" t="s">
        <v>61</v>
      </c>
    </row>
    <row r="57" spans="1:14" ht="15.75" thickBot="1">
      <c r="A57" s="14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85">
        <f>MAX(N23:N49)</f>
        <v>0.05</v>
      </c>
    </row>
    <row r="59" ht="15.75" hidden="1" thickBot="1"/>
    <row r="60" spans="1:14" ht="15.75" hidden="1" thickBot="1">
      <c r="A60" s="18"/>
      <c r="B60" s="18"/>
      <c r="C60" s="19"/>
      <c r="D60" s="19"/>
      <c r="E60" s="19"/>
      <c r="F60" s="20"/>
      <c r="G60" s="18"/>
      <c r="H60" s="18"/>
      <c r="I60" s="18"/>
      <c r="J60" s="19"/>
      <c r="K60" s="18"/>
      <c r="L60" s="18"/>
      <c r="M60" s="131" t="s">
        <v>122</v>
      </c>
      <c r="N60" s="161" t="s">
        <v>203</v>
      </c>
    </row>
    <row r="61" spans="1:14" ht="18" hidden="1">
      <c r="A61" s="256" t="s">
        <v>62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</row>
    <row r="62" spans="1:14" ht="18" hidden="1">
      <c r="A62" s="196"/>
      <c r="B62" s="196"/>
      <c r="C62" s="196"/>
      <c r="D62" s="196"/>
      <c r="E62" s="196"/>
      <c r="F62" s="22" t="s">
        <v>111</v>
      </c>
      <c r="G62" s="196"/>
      <c r="H62" s="196"/>
      <c r="I62" s="196"/>
      <c r="J62" s="196"/>
      <c r="K62" s="196"/>
      <c r="L62" s="196"/>
      <c r="M62" s="196"/>
      <c r="N62" s="87"/>
    </row>
    <row r="63" spans="1:31" ht="15.75" hidden="1">
      <c r="A63" s="257" t="s">
        <v>173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U63" s="138" t="s">
        <v>63</v>
      </c>
      <c r="W63" s="138" t="s">
        <v>24</v>
      </c>
      <c r="Y63" s="138" t="s">
        <v>69</v>
      </c>
      <c r="AA63" s="138" t="s">
        <v>72</v>
      </c>
      <c r="AB63" s="138" t="s">
        <v>77</v>
      </c>
      <c r="AC63" s="138" t="s">
        <v>79</v>
      </c>
      <c r="AD63" s="138" t="s">
        <v>160</v>
      </c>
      <c r="AE63" s="138" t="s">
        <v>166</v>
      </c>
    </row>
    <row r="64" spans="1:31" ht="16.5" hidden="1" thickBot="1">
      <c r="A64" s="24"/>
      <c r="B64" s="18"/>
      <c r="C64" s="19"/>
      <c r="D64" s="19"/>
      <c r="E64" s="19"/>
      <c r="F64" s="20"/>
      <c r="G64" s="20"/>
      <c r="H64" s="18"/>
      <c r="I64" s="18"/>
      <c r="J64" s="18"/>
      <c r="K64" s="19"/>
      <c r="L64" s="18"/>
      <c r="M64" s="18"/>
      <c r="N64" s="23"/>
      <c r="U64" s="138" t="s">
        <v>64</v>
      </c>
      <c r="W64" s="138" t="s">
        <v>82</v>
      </c>
      <c r="Y64" s="138" t="s">
        <v>70</v>
      </c>
      <c r="AA64" s="138" t="s">
        <v>73</v>
      </c>
      <c r="AB64" s="138" t="s">
        <v>29</v>
      </c>
      <c r="AC64" s="139">
        <v>2</v>
      </c>
      <c r="AD64" s="138" t="s">
        <v>161</v>
      </c>
      <c r="AE64" s="138">
        <v>0.65</v>
      </c>
    </row>
    <row r="65" spans="1:31" ht="15.75" hidden="1" thickBot="1">
      <c r="A65" s="25" t="s">
        <v>23</v>
      </c>
      <c r="B65" s="26"/>
      <c r="C65" s="88"/>
      <c r="D65" s="245" t="s">
        <v>64</v>
      </c>
      <c r="E65" s="247"/>
      <c r="F65" s="280" t="s">
        <v>179</v>
      </c>
      <c r="G65" s="281"/>
      <c r="H65" s="260" t="str">
        <f>+H6</f>
        <v>Tomas de Berlanga</v>
      </c>
      <c r="I65" s="261"/>
      <c r="J65" s="262"/>
      <c r="K65" s="263" t="s">
        <v>81</v>
      </c>
      <c r="L65" s="264"/>
      <c r="M65" s="265" t="str">
        <f>+M6</f>
        <v>INFIERNILLO</v>
      </c>
      <c r="N65" s="266"/>
      <c r="Q65" s="195"/>
      <c r="R65" s="195"/>
      <c r="U65" s="138" t="s">
        <v>65</v>
      </c>
      <c r="W65" s="138" t="s">
        <v>83</v>
      </c>
      <c r="Y65" s="138" t="s">
        <v>7</v>
      </c>
      <c r="AA65" s="138" t="s">
        <v>76</v>
      </c>
      <c r="AB65" s="138" t="s">
        <v>78</v>
      </c>
      <c r="AC65" s="139" t="s">
        <v>0</v>
      </c>
      <c r="AD65" s="138" t="s">
        <v>162</v>
      </c>
      <c r="AE65" s="138">
        <v>0.7</v>
      </c>
    </row>
    <row r="66" spans="1:31" ht="15.75" hidden="1" thickBot="1">
      <c r="A66" s="21"/>
      <c r="B66" s="21"/>
      <c r="C66" s="21"/>
      <c r="D66" s="21"/>
      <c r="E66" s="21"/>
      <c r="F66" s="28"/>
      <c r="G66" s="28"/>
      <c r="H66" s="21"/>
      <c r="I66" s="21"/>
      <c r="J66" s="21"/>
      <c r="K66" s="21"/>
      <c r="L66" s="21"/>
      <c r="M66" s="21"/>
      <c r="N66" s="23"/>
      <c r="U66" s="138" t="s">
        <v>66</v>
      </c>
      <c r="W66" s="138" t="s">
        <v>68</v>
      </c>
      <c r="Y66" s="138" t="s">
        <v>27</v>
      </c>
      <c r="AA66" s="138" t="s">
        <v>74</v>
      </c>
      <c r="AC66" s="139" t="s">
        <v>1</v>
      </c>
      <c r="AD66" s="138" t="s">
        <v>163</v>
      </c>
      <c r="AE66" s="138">
        <v>0.8</v>
      </c>
    </row>
    <row r="67" spans="1:31" ht="15.75" hidden="1" thickBot="1">
      <c r="A67" s="25" t="s">
        <v>24</v>
      </c>
      <c r="B67" s="26"/>
      <c r="C67" s="26"/>
      <c r="D67" s="245" t="s">
        <v>68</v>
      </c>
      <c r="E67" s="246"/>
      <c r="F67" s="247"/>
      <c r="G67" s="25"/>
      <c r="H67" s="29"/>
      <c r="I67" s="29"/>
      <c r="J67" s="26"/>
      <c r="K67" s="26"/>
      <c r="L67" s="26"/>
      <c r="M67" s="26"/>
      <c r="N67" s="209"/>
      <c r="U67" s="138" t="s">
        <v>67</v>
      </c>
      <c r="Y67" s="138" t="s">
        <v>9</v>
      </c>
      <c r="AA67" s="138" t="s">
        <v>75</v>
      </c>
      <c r="AC67" s="139" t="s">
        <v>2</v>
      </c>
      <c r="AE67" s="138">
        <v>0.9</v>
      </c>
    </row>
    <row r="68" spans="1:31" ht="15.75" hidden="1" thickBot="1">
      <c r="A68" s="23" t="s">
        <v>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05"/>
      <c r="M68" s="23"/>
      <c r="N68" s="210"/>
      <c r="AC68" s="141" t="s">
        <v>3</v>
      </c>
      <c r="AE68" s="138">
        <v>1</v>
      </c>
    </row>
    <row r="69" spans="1:24" ht="15.75" hidden="1" thickBot="1">
      <c r="A69" s="30" t="s">
        <v>26</v>
      </c>
      <c r="B69" s="18"/>
      <c r="C69" s="23"/>
      <c r="D69" s="248" t="s">
        <v>9</v>
      </c>
      <c r="E69" s="282"/>
      <c r="F69" s="282"/>
      <c r="G69" s="249"/>
      <c r="H69" s="18"/>
      <c r="I69" s="18"/>
      <c r="J69" s="18"/>
      <c r="K69" s="23"/>
      <c r="L69" s="220" t="s">
        <v>175</v>
      </c>
      <c r="M69" s="18"/>
      <c r="N69" s="162" t="s">
        <v>78</v>
      </c>
      <c r="U69" s="138" t="s">
        <v>64</v>
      </c>
      <c r="W69" s="138" t="s">
        <v>29</v>
      </c>
      <c r="X69" s="138" t="s">
        <v>78</v>
      </c>
    </row>
    <row r="70" spans="1:24" ht="15.75" hidden="1" thickBot="1">
      <c r="A70" s="23"/>
      <c r="B70" s="31"/>
      <c r="C70" s="23"/>
      <c r="D70" s="19"/>
      <c r="E70" s="32"/>
      <c r="F70" s="32"/>
      <c r="G70" s="20"/>
      <c r="H70" s="20"/>
      <c r="I70" s="20"/>
      <c r="J70" s="33"/>
      <c r="K70" s="25" t="s">
        <v>172</v>
      </c>
      <c r="L70" s="29"/>
      <c r="M70" s="217"/>
      <c r="N70" s="206" t="str">
        <f>IF(N69="","",IF(N69="3F","13.8 KV","7.6 kV"))</f>
        <v>13.8 KV</v>
      </c>
      <c r="U70" s="138" t="s">
        <v>84</v>
      </c>
      <c r="W70" s="138">
        <v>10</v>
      </c>
      <c r="X70" s="138">
        <v>30</v>
      </c>
    </row>
    <row r="71" spans="1:24" ht="15.75" hidden="1" thickBot="1">
      <c r="A71" s="36" t="s">
        <v>174</v>
      </c>
      <c r="B71" s="37"/>
      <c r="C71" s="37"/>
      <c r="D71" s="150">
        <v>8</v>
      </c>
      <c r="E71" s="38"/>
      <c r="F71" s="39"/>
      <c r="G71" s="39"/>
      <c r="H71" s="39"/>
      <c r="I71" s="39"/>
      <c r="J71" s="37"/>
      <c r="K71" s="25" t="s">
        <v>176</v>
      </c>
      <c r="L71" s="26"/>
      <c r="M71" s="218"/>
      <c r="N71" s="219">
        <v>575</v>
      </c>
      <c r="U71" s="138" t="s">
        <v>85</v>
      </c>
      <c r="W71" s="138">
        <v>15</v>
      </c>
      <c r="X71" s="138">
        <v>50</v>
      </c>
    </row>
    <row r="72" spans="1:24" ht="15.75" hidden="1" thickBot="1">
      <c r="A72" s="41" t="s">
        <v>31</v>
      </c>
      <c r="B72" s="21"/>
      <c r="C72" s="21"/>
      <c r="D72" s="150">
        <v>120</v>
      </c>
      <c r="E72" s="21"/>
      <c r="F72" s="28"/>
      <c r="G72" s="42" t="s">
        <v>32</v>
      </c>
      <c r="H72" s="250" t="str">
        <f>+H13</f>
        <v>Jefatura de Planificación</v>
      </c>
      <c r="I72" s="251"/>
      <c r="J72" s="251"/>
      <c r="K72" s="213"/>
      <c r="L72" s="21"/>
      <c r="M72" s="211"/>
      <c r="N72" s="214"/>
      <c r="U72" s="138" t="s">
        <v>86</v>
      </c>
      <c r="W72" s="138">
        <v>25</v>
      </c>
      <c r="X72" s="138">
        <v>75</v>
      </c>
    </row>
    <row r="73" spans="1:24" ht="15.75" hidden="1" thickBot="1">
      <c r="A73" s="41" t="s">
        <v>34</v>
      </c>
      <c r="B73" s="21"/>
      <c r="C73" s="21"/>
      <c r="D73" s="162">
        <v>4510</v>
      </c>
      <c r="E73" s="41"/>
      <c r="F73" s="28"/>
      <c r="G73" s="42" t="s">
        <v>35</v>
      </c>
      <c r="H73" s="252">
        <f>+H14</f>
        <v>43598</v>
      </c>
      <c r="I73" s="253"/>
      <c r="J73" s="253"/>
      <c r="K73" s="41"/>
      <c r="L73" s="21"/>
      <c r="M73" s="211"/>
      <c r="N73" s="215"/>
      <c r="U73" s="138" t="s">
        <v>87</v>
      </c>
      <c r="W73" s="138">
        <v>37.5</v>
      </c>
      <c r="X73" s="138">
        <v>100</v>
      </c>
    </row>
    <row r="74" spans="1:24" ht="15.75" hidden="1" thickBot="1">
      <c r="A74" s="254"/>
      <c r="B74" s="255"/>
      <c r="C74" s="255"/>
      <c r="D74" s="255"/>
      <c r="E74" s="255"/>
      <c r="F74" s="255"/>
      <c r="G74" s="255"/>
      <c r="H74" s="255"/>
      <c r="I74" s="255"/>
      <c r="J74" s="255"/>
      <c r="K74" s="44"/>
      <c r="L74" s="34"/>
      <c r="M74" s="212" t="str">
        <f>+IF(OR(N69="",D71="",D72=""),"","POT. NOMINAL TRAFO. (KVA):")</f>
        <v>POT. NOMINAL TRAFO. (KVA):</v>
      </c>
      <c r="N74" s="216"/>
      <c r="U74" s="138" t="s">
        <v>88</v>
      </c>
      <c r="W74" s="138">
        <v>50</v>
      </c>
      <c r="X74" s="138">
        <v>125</v>
      </c>
    </row>
    <row r="75" spans="1:24" ht="15.75" hidden="1" thickBot="1">
      <c r="A75" s="21"/>
      <c r="B75" s="21"/>
      <c r="C75" s="21"/>
      <c r="D75" s="21"/>
      <c r="E75" s="21"/>
      <c r="F75" s="28"/>
      <c r="G75" s="28"/>
      <c r="H75" s="21"/>
      <c r="I75" s="21"/>
      <c r="J75" s="21"/>
      <c r="K75" s="21"/>
      <c r="L75" s="21"/>
      <c r="M75" s="21"/>
      <c r="N75" s="23"/>
      <c r="U75" s="138" t="s">
        <v>89</v>
      </c>
      <c r="W75" s="138">
        <v>75</v>
      </c>
      <c r="X75" s="138">
        <v>150</v>
      </c>
    </row>
    <row r="76" spans="1:24" ht="19.5" hidden="1" thickBot="1">
      <c r="A76" s="46" t="s">
        <v>36</v>
      </c>
      <c r="B76" s="47"/>
      <c r="C76" s="47"/>
      <c r="D76" s="48" t="s">
        <v>37</v>
      </c>
      <c r="E76" s="49"/>
      <c r="F76" s="50"/>
      <c r="G76" s="50"/>
      <c r="H76" s="37"/>
      <c r="I76" s="37"/>
      <c r="J76" s="37"/>
      <c r="K76" s="37"/>
      <c r="L76" s="37"/>
      <c r="M76" s="37"/>
      <c r="N76" s="40"/>
      <c r="U76" s="138" t="s">
        <v>90</v>
      </c>
      <c r="W76" s="138">
        <v>100</v>
      </c>
      <c r="X76" s="138">
        <v>200</v>
      </c>
    </row>
    <row r="77" spans="1:23" ht="15.75" hidden="1" thickBot="1">
      <c r="A77" s="41"/>
      <c r="B77" s="21"/>
      <c r="C77" s="21"/>
      <c r="D77" s="21"/>
      <c r="E77" s="21"/>
      <c r="F77" s="28"/>
      <c r="G77" s="28"/>
      <c r="H77" s="21"/>
      <c r="I77" s="21"/>
      <c r="J77" s="21"/>
      <c r="K77" s="21" t="s">
        <v>180</v>
      </c>
      <c r="L77" s="21"/>
      <c r="M77" s="21"/>
      <c r="N77" s="163">
        <v>0.02</v>
      </c>
      <c r="U77" s="138" t="s">
        <v>91</v>
      </c>
      <c r="W77" s="138">
        <v>112.5</v>
      </c>
    </row>
    <row r="78" spans="1:23" ht="15.75" hidden="1" thickBot="1">
      <c r="A78" s="44"/>
      <c r="B78" s="34"/>
      <c r="C78" s="34"/>
      <c r="D78" s="34"/>
      <c r="E78" s="34"/>
      <c r="F78" s="45"/>
      <c r="G78" s="45"/>
      <c r="H78" s="34"/>
      <c r="I78" s="34"/>
      <c r="J78" s="34"/>
      <c r="K78" s="34"/>
      <c r="L78" s="113" t="s">
        <v>178</v>
      </c>
      <c r="M78" s="142"/>
      <c r="N78" s="163" t="s">
        <v>140</v>
      </c>
      <c r="S78" s="139"/>
      <c r="W78" s="138">
        <v>125</v>
      </c>
    </row>
    <row r="79" spans="1:14" ht="15.75" hidden="1" thickBot="1">
      <c r="A79" s="21"/>
      <c r="B79" s="21"/>
      <c r="C79" s="21"/>
      <c r="D79" s="21"/>
      <c r="E79" s="21"/>
      <c r="F79" s="28"/>
      <c r="G79" s="28"/>
      <c r="H79" s="21"/>
      <c r="I79" s="21"/>
      <c r="J79" s="21"/>
      <c r="K79" s="21"/>
      <c r="L79" s="21"/>
      <c r="M79" s="21"/>
      <c r="N79" s="23"/>
    </row>
    <row r="80" spans="1:22" ht="15.75" hidden="1" thickBot="1">
      <c r="A80" s="240" t="s">
        <v>38</v>
      </c>
      <c r="B80" s="241"/>
      <c r="C80" s="287" t="s">
        <v>39</v>
      </c>
      <c r="D80" s="288"/>
      <c r="E80" s="283" t="s">
        <v>42</v>
      </c>
      <c r="F80" s="284"/>
      <c r="G80" s="240" t="s">
        <v>43</v>
      </c>
      <c r="H80" s="242"/>
      <c r="I80" s="242"/>
      <c r="J80" s="241"/>
      <c r="K80" s="243" t="s">
        <v>185</v>
      </c>
      <c r="L80" s="242" t="s">
        <v>45</v>
      </c>
      <c r="M80" s="242"/>
      <c r="N80" s="241"/>
      <c r="U80" s="232" t="s">
        <v>98</v>
      </c>
      <c r="V80" s="232" t="s">
        <v>99</v>
      </c>
    </row>
    <row r="81" spans="1:22" ht="15.75" hidden="1" thickBot="1">
      <c r="A81" s="52" t="s">
        <v>46</v>
      </c>
      <c r="B81" s="52" t="s">
        <v>47</v>
      </c>
      <c r="C81" s="285" t="s">
        <v>48</v>
      </c>
      <c r="D81" s="286"/>
      <c r="E81" s="285" t="s">
        <v>177</v>
      </c>
      <c r="F81" s="286"/>
      <c r="G81" s="56" t="s">
        <v>52</v>
      </c>
      <c r="H81" s="43" t="s">
        <v>105</v>
      </c>
      <c r="I81" s="124" t="s">
        <v>106</v>
      </c>
      <c r="J81" s="43" t="s">
        <v>53</v>
      </c>
      <c r="K81" s="244"/>
      <c r="L81" s="53" t="s">
        <v>54</v>
      </c>
      <c r="M81" s="43" t="s">
        <v>55</v>
      </c>
      <c r="N81" s="57" t="s">
        <v>56</v>
      </c>
      <c r="U81" s="232"/>
      <c r="V81" s="232"/>
    </row>
    <row r="82" spans="1:22" ht="15" hidden="1">
      <c r="A82" s="191" t="s">
        <v>140</v>
      </c>
      <c r="B82" s="164" t="s">
        <v>139</v>
      </c>
      <c r="C82" s="279">
        <v>30</v>
      </c>
      <c r="D82" s="279"/>
      <c r="E82" s="293">
        <v>100</v>
      </c>
      <c r="F82" s="294"/>
      <c r="G82" s="95">
        <f aca="true" t="shared" si="6" ref="G82:G107">IF(OR($N$10="",C82=""),"",IF($N$10="1F",1,3))</f>
        <v>1</v>
      </c>
      <c r="H82" s="182">
        <v>2</v>
      </c>
      <c r="I82" s="182">
        <v>2</v>
      </c>
      <c r="J82" s="95">
        <f>IF(OR(H82="",$D$69="",$N$69=""),"",IF($D$69="COBRE",VLOOKUP(CDV_PROY_MT!H82,FDV!$H$16:$K$24,IF(CDV_PROY_MT!$N$69="3F",3,4),FALSE),IF($D$69="ACS",VLOOKUP(CDV_PROY_MT!H82,FDV!$H$10:$K$15,IF(CDV_PROY_MT!$N$69="3F",3,4),FALSE),IF($D$69="5005 (PREENSAMBLADO)",VLOOKUP(CDV_PROY_MT!H82,FDV!$H$4:$K$9,IF(CDV_PROY_MT!$N$69="3F",3,4),FALSE),VLOOKUP(CDV_PROY_MT!H82,FDV!$H$25:$K$30,IF(CDV_PROY_MT!$N$69="3F",3,4),FALSE)))))</f>
        <v>1720</v>
      </c>
      <c r="K82" s="60">
        <f>IF(C82="","",ROUND(E82*C82/1000,0))</f>
        <v>3</v>
      </c>
      <c r="L82" s="61">
        <f aca="true" t="shared" si="7" ref="L82:L107">IF($N$19="","",IF(C82="","",ROUND(K82/J82,2)))</f>
        <v>0</v>
      </c>
      <c r="M82" s="61">
        <f>IF(C82="","",VLOOKUP(A82,$B$82:$N$109,12,FALSE)+L82+N77)</f>
        <v>0.02</v>
      </c>
      <c r="N82" s="154"/>
      <c r="U82" s="138">
        <f aca="true" t="shared" si="8" ref="U82:U109">+IF(C82="",0,C82)</f>
        <v>30</v>
      </c>
      <c r="V82" s="138">
        <f aca="true" t="shared" si="9" ref="V82:V108">IF(OR(C82="",G82=""),0,C82*G82)</f>
        <v>30</v>
      </c>
    </row>
    <row r="83" spans="1:22" ht="15" hidden="1">
      <c r="A83" s="167" t="s">
        <v>139</v>
      </c>
      <c r="B83" s="168" t="s">
        <v>141</v>
      </c>
      <c r="C83" s="273">
        <v>30</v>
      </c>
      <c r="D83" s="273"/>
      <c r="E83" s="274">
        <v>100</v>
      </c>
      <c r="F83" s="275"/>
      <c r="G83" s="59">
        <f t="shared" si="6"/>
        <v>1</v>
      </c>
      <c r="H83" s="183">
        <v>2</v>
      </c>
      <c r="I83" s="183">
        <v>2</v>
      </c>
      <c r="J83" s="59">
        <f>IF(OR(H83="",$D$69="",$N$69=""),"",IF($D$69="COBRE",VLOOKUP(CDV_PROY_MT!H83,FDV!$H$16:$K$24,IF(CDV_PROY_MT!$N$69="3F",3,4),FALSE),IF($D$69="ACS",VLOOKUP(CDV_PROY_MT!H83,FDV!$H$10:$K$15,IF(CDV_PROY_MT!$N$69="3F",3,4),FALSE),IF($D$69="5005 (PREENSAMBLADO)",VLOOKUP(CDV_PROY_MT!H83,FDV!$H$4:$K$9,IF(CDV_PROY_MT!$N$69="3F",3,4),FALSE),VLOOKUP(CDV_PROY_MT!H83,FDV!$H$25:$K$30,IF(CDV_PROY_MT!$N$69="3F",3,4),FALSE)))))</f>
        <v>1720</v>
      </c>
      <c r="K83" s="63">
        <f aca="true" t="shared" si="10" ref="K83:K108">IF(C83="","",ROUND(E83*C83/1000,0))</f>
        <v>3</v>
      </c>
      <c r="L83" s="62">
        <f t="shared" si="7"/>
        <v>0</v>
      </c>
      <c r="M83" s="62">
        <f aca="true" t="shared" si="11" ref="M83:M108">IF(C83="","",VLOOKUP(A83,$B$82:$N$109,12,FALSE)+L83)</f>
        <v>0.02</v>
      </c>
      <c r="N83" s="155"/>
      <c r="U83" s="138">
        <f t="shared" si="8"/>
        <v>30</v>
      </c>
      <c r="V83" s="138">
        <f t="shared" si="9"/>
        <v>30</v>
      </c>
    </row>
    <row r="84" spans="1:22" ht="15" hidden="1">
      <c r="A84" s="167" t="s">
        <v>141</v>
      </c>
      <c r="B84" s="168" t="s">
        <v>142</v>
      </c>
      <c r="C84" s="273">
        <v>30</v>
      </c>
      <c r="D84" s="273"/>
      <c r="E84" s="274">
        <v>50</v>
      </c>
      <c r="F84" s="275"/>
      <c r="G84" s="59">
        <f t="shared" si="6"/>
        <v>1</v>
      </c>
      <c r="H84" s="183">
        <v>2</v>
      </c>
      <c r="I84" s="183">
        <v>2</v>
      </c>
      <c r="J84" s="59">
        <f>IF(OR(H84="",$D$69="",$N$69=""),"",IF($D$69="COBRE",VLOOKUP(CDV_PROY_MT!H84,FDV!$H$16:$K$24,IF(CDV_PROY_MT!$N$69="3F",3,4),FALSE),IF($D$69="ACS",VLOOKUP(CDV_PROY_MT!H84,FDV!$H$10:$K$15,IF(CDV_PROY_MT!$N$69="3F",3,4),FALSE),IF($D$69="5005 (PREENSAMBLADO)",VLOOKUP(CDV_PROY_MT!H84,FDV!$H$4:$K$9,IF(CDV_PROY_MT!$N$69="3F",3,4),FALSE),VLOOKUP(CDV_PROY_MT!H84,FDV!$H$25:$K$30,IF(CDV_PROY_MT!$N$69="3F",3,4),FALSE)))))</f>
        <v>1720</v>
      </c>
      <c r="K84" s="63">
        <f t="shared" si="10"/>
        <v>2</v>
      </c>
      <c r="L84" s="62">
        <f t="shared" si="7"/>
        <v>0</v>
      </c>
      <c r="M84" s="62">
        <f t="shared" si="11"/>
        <v>0.02</v>
      </c>
      <c r="N84" s="155"/>
      <c r="U84" s="138">
        <f t="shared" si="8"/>
        <v>30</v>
      </c>
      <c r="V84" s="138">
        <f t="shared" si="9"/>
        <v>30</v>
      </c>
    </row>
    <row r="85" spans="1:22" ht="15" hidden="1">
      <c r="A85" s="167" t="s">
        <v>142</v>
      </c>
      <c r="B85" s="168" t="s">
        <v>153</v>
      </c>
      <c r="C85" s="273">
        <v>32</v>
      </c>
      <c r="D85" s="273"/>
      <c r="E85" s="274">
        <v>50</v>
      </c>
      <c r="F85" s="275"/>
      <c r="G85" s="59">
        <f t="shared" si="6"/>
        <v>1</v>
      </c>
      <c r="H85" s="183">
        <v>2</v>
      </c>
      <c r="I85" s="183">
        <v>2</v>
      </c>
      <c r="J85" s="59">
        <f>IF(OR(H85="",$D$69="",$N$69=""),"",IF($D$69="COBRE",VLOOKUP(CDV_PROY_MT!H85,FDV!$H$16:$K$24,IF(CDV_PROY_MT!$N$69="3F",3,4),FALSE),IF($D$69="ACS",VLOOKUP(CDV_PROY_MT!H85,FDV!$H$10:$K$15,IF(CDV_PROY_MT!$N$69="3F",3,4),FALSE),IF($D$69="5005 (PREENSAMBLADO)",VLOOKUP(CDV_PROY_MT!H85,FDV!$H$4:$K$9,IF(CDV_PROY_MT!$N$69="3F",3,4),FALSE),VLOOKUP(CDV_PROY_MT!H85,FDV!$H$25:$K$30,IF(CDV_PROY_MT!$N$69="3F",3,4),FALSE)))))</f>
        <v>1720</v>
      </c>
      <c r="K85" s="63">
        <f t="shared" si="10"/>
        <v>2</v>
      </c>
      <c r="L85" s="62">
        <f t="shared" si="7"/>
        <v>0</v>
      </c>
      <c r="M85" s="62">
        <f t="shared" si="11"/>
        <v>0.02</v>
      </c>
      <c r="N85" s="155"/>
      <c r="U85" s="138">
        <f t="shared" si="8"/>
        <v>32</v>
      </c>
      <c r="V85" s="138">
        <f t="shared" si="9"/>
        <v>32</v>
      </c>
    </row>
    <row r="86" spans="1:22" ht="15" hidden="1">
      <c r="A86" s="167" t="s">
        <v>153</v>
      </c>
      <c r="B86" s="168" t="s">
        <v>152</v>
      </c>
      <c r="C86" s="273">
        <v>31</v>
      </c>
      <c r="D86" s="273"/>
      <c r="E86" s="274">
        <v>50</v>
      </c>
      <c r="F86" s="275"/>
      <c r="G86" s="59">
        <f t="shared" si="6"/>
        <v>1</v>
      </c>
      <c r="H86" s="183">
        <v>2</v>
      </c>
      <c r="I86" s="183">
        <v>2</v>
      </c>
      <c r="J86" s="59">
        <f>IF(OR(H86="",$D$69="",$N$69=""),"",IF($D$69="COBRE",VLOOKUP(CDV_PROY_MT!H86,FDV!$H$16:$K$24,IF(CDV_PROY_MT!$N$69="3F",3,4),FALSE),IF($D$69="ACS",VLOOKUP(CDV_PROY_MT!H86,FDV!$H$10:$K$15,IF(CDV_PROY_MT!$N$69="3F",3,4),FALSE),IF($D$69="5005 (PREENSAMBLADO)",VLOOKUP(CDV_PROY_MT!H86,FDV!$H$4:$K$9,IF(CDV_PROY_MT!$N$69="3F",3,4),FALSE),VLOOKUP(CDV_PROY_MT!H86,FDV!$H$25:$K$30,IF(CDV_PROY_MT!$N$69="3F",3,4),FALSE)))))</f>
        <v>1720</v>
      </c>
      <c r="K86" s="63">
        <f t="shared" si="10"/>
        <v>2</v>
      </c>
      <c r="L86" s="62">
        <f t="shared" si="7"/>
        <v>0</v>
      </c>
      <c r="M86" s="62">
        <f t="shared" si="11"/>
        <v>0.02</v>
      </c>
      <c r="N86" s="155"/>
      <c r="U86" s="138">
        <f t="shared" si="8"/>
        <v>31</v>
      </c>
      <c r="V86" s="138">
        <f t="shared" si="9"/>
        <v>31</v>
      </c>
    </row>
    <row r="87" spans="1:22" ht="15" hidden="1">
      <c r="A87" s="167" t="s">
        <v>152</v>
      </c>
      <c r="B87" s="168" t="s">
        <v>149</v>
      </c>
      <c r="C87" s="273">
        <v>31</v>
      </c>
      <c r="D87" s="273"/>
      <c r="E87" s="274">
        <v>50</v>
      </c>
      <c r="F87" s="275"/>
      <c r="G87" s="59">
        <f t="shared" si="6"/>
        <v>1</v>
      </c>
      <c r="H87" s="183">
        <v>2</v>
      </c>
      <c r="I87" s="183">
        <v>2</v>
      </c>
      <c r="J87" s="59">
        <f>IF(OR(H87="",$D$69="",$N$69=""),"",IF($D$69="COBRE",VLOOKUP(CDV_PROY_MT!H87,FDV!$H$16:$K$24,IF(CDV_PROY_MT!$N$69="3F",3,4),FALSE),IF($D$69="ACS",VLOOKUP(CDV_PROY_MT!H87,FDV!$H$10:$K$15,IF(CDV_PROY_MT!$N$69="3F",3,4),FALSE),IF($D$69="5005 (PREENSAMBLADO)",VLOOKUP(CDV_PROY_MT!H87,FDV!$H$4:$K$9,IF(CDV_PROY_MT!$N$69="3F",3,4),FALSE),VLOOKUP(CDV_PROY_MT!H87,FDV!$H$25:$K$30,IF(CDV_PROY_MT!$N$69="3F",3,4),FALSE)))))</f>
        <v>1720</v>
      </c>
      <c r="K87" s="63">
        <f t="shared" si="10"/>
        <v>2</v>
      </c>
      <c r="L87" s="62">
        <f t="shared" si="7"/>
        <v>0</v>
      </c>
      <c r="M87" s="62">
        <f t="shared" si="11"/>
        <v>0.02</v>
      </c>
      <c r="N87" s="155"/>
      <c r="U87" s="138">
        <f t="shared" si="8"/>
        <v>31</v>
      </c>
      <c r="V87" s="138">
        <f t="shared" si="9"/>
        <v>31</v>
      </c>
    </row>
    <row r="88" spans="1:22" ht="15" hidden="1">
      <c r="A88" s="167" t="s">
        <v>149</v>
      </c>
      <c r="B88" s="168" t="s">
        <v>150</v>
      </c>
      <c r="C88" s="273">
        <v>31</v>
      </c>
      <c r="D88" s="273"/>
      <c r="E88" s="274">
        <v>50</v>
      </c>
      <c r="F88" s="275"/>
      <c r="G88" s="59">
        <f t="shared" si="6"/>
        <v>1</v>
      </c>
      <c r="H88" s="183">
        <v>2</v>
      </c>
      <c r="I88" s="183">
        <v>2</v>
      </c>
      <c r="J88" s="59">
        <f>IF(OR(H88="",$D$69="",$N$69=""),"",IF($D$69="COBRE",VLOOKUP(CDV_PROY_MT!H88,FDV!$H$16:$K$24,IF(CDV_PROY_MT!$N$69="3F",3,4),FALSE),IF($D$69="ACS",VLOOKUP(CDV_PROY_MT!H88,FDV!$H$10:$K$15,IF(CDV_PROY_MT!$N$69="3F",3,4),FALSE),IF($D$69="5005 (PREENSAMBLADO)",VLOOKUP(CDV_PROY_MT!H88,FDV!$H$4:$K$9,IF(CDV_PROY_MT!$N$69="3F",3,4),FALSE),VLOOKUP(CDV_PROY_MT!H88,FDV!$H$25:$K$30,IF(CDV_PROY_MT!$N$69="3F",3,4),FALSE)))))</f>
        <v>1720</v>
      </c>
      <c r="K88" s="63">
        <f t="shared" si="10"/>
        <v>2</v>
      </c>
      <c r="L88" s="62">
        <f t="shared" si="7"/>
        <v>0</v>
      </c>
      <c r="M88" s="62">
        <f t="shared" si="11"/>
        <v>0.02</v>
      </c>
      <c r="N88" s="155"/>
      <c r="U88" s="138">
        <f t="shared" si="8"/>
        <v>31</v>
      </c>
      <c r="V88" s="138">
        <f t="shared" si="9"/>
        <v>31</v>
      </c>
    </row>
    <row r="89" spans="1:22" ht="15" hidden="1">
      <c r="A89" s="167" t="s">
        <v>150</v>
      </c>
      <c r="B89" s="168" t="s">
        <v>151</v>
      </c>
      <c r="C89" s="273">
        <v>31</v>
      </c>
      <c r="D89" s="273"/>
      <c r="E89" s="274">
        <v>0</v>
      </c>
      <c r="F89" s="275"/>
      <c r="G89" s="59">
        <f t="shared" si="6"/>
        <v>1</v>
      </c>
      <c r="H89" s="183">
        <v>2</v>
      </c>
      <c r="I89" s="183">
        <v>2</v>
      </c>
      <c r="J89" s="59">
        <f>IF(OR(H89="",$D$69="",$N$69=""),"",IF($D$69="COBRE",VLOOKUP(CDV_PROY_MT!H89,FDV!$H$16:$K$24,IF(CDV_PROY_MT!$N$69="3F",3,4),FALSE),IF($D$69="ACS",VLOOKUP(CDV_PROY_MT!H89,FDV!$H$10:$K$15,IF(CDV_PROY_MT!$N$69="3F",3,4),FALSE),IF($D$69="5005 (PREENSAMBLADO)",VLOOKUP(CDV_PROY_MT!H89,FDV!$H$4:$K$9,IF(CDV_PROY_MT!$N$69="3F",3,4),FALSE),VLOOKUP(CDV_PROY_MT!H89,FDV!$H$25:$K$30,IF(CDV_PROY_MT!$N$69="3F",3,4),FALSE)))))</f>
        <v>1720</v>
      </c>
      <c r="K89" s="63">
        <f t="shared" si="10"/>
        <v>0</v>
      </c>
      <c r="L89" s="62">
        <f t="shared" si="7"/>
        <v>0</v>
      </c>
      <c r="M89" s="62">
        <f t="shared" si="11"/>
        <v>0.02</v>
      </c>
      <c r="N89" s="155"/>
      <c r="U89" s="138">
        <f t="shared" si="8"/>
        <v>31</v>
      </c>
      <c r="V89" s="138">
        <f t="shared" si="9"/>
        <v>31</v>
      </c>
    </row>
    <row r="90" spans="1:22" ht="15" hidden="1">
      <c r="A90" s="171" t="s">
        <v>151</v>
      </c>
      <c r="B90" s="172" t="s">
        <v>155</v>
      </c>
      <c r="C90" s="273">
        <v>31</v>
      </c>
      <c r="D90" s="273"/>
      <c r="E90" s="274">
        <v>0</v>
      </c>
      <c r="F90" s="275"/>
      <c r="G90" s="59">
        <f t="shared" si="6"/>
        <v>1</v>
      </c>
      <c r="H90" s="183">
        <v>2</v>
      </c>
      <c r="I90" s="183">
        <v>2</v>
      </c>
      <c r="J90" s="59">
        <f>IF(OR(H90="",$D$69="",$N$69=""),"",IF($D$69="COBRE",VLOOKUP(CDV_PROY_MT!H90,FDV!$H$16:$K$24,IF(CDV_PROY_MT!$N$69="3F",3,4),FALSE),IF($D$69="ACS",VLOOKUP(CDV_PROY_MT!H90,FDV!$H$10:$K$15,IF(CDV_PROY_MT!$N$69="3F",3,4),FALSE),IF($D$69="5005 (PREENSAMBLADO)",VLOOKUP(CDV_PROY_MT!H90,FDV!$H$4:$K$9,IF(CDV_PROY_MT!$N$69="3F",3,4),FALSE),VLOOKUP(CDV_PROY_MT!H90,FDV!$H$25:$K$30,IF(CDV_PROY_MT!$N$69="3F",3,4),FALSE)))))</f>
        <v>1720</v>
      </c>
      <c r="K90" s="63">
        <f t="shared" si="10"/>
        <v>0</v>
      </c>
      <c r="L90" s="62">
        <f t="shared" si="7"/>
        <v>0</v>
      </c>
      <c r="M90" s="62">
        <f t="shared" si="11"/>
        <v>0.02</v>
      </c>
      <c r="N90" s="155">
        <f>+M90</f>
        <v>0.02</v>
      </c>
      <c r="U90" s="138">
        <f t="shared" si="8"/>
        <v>31</v>
      </c>
      <c r="V90" s="138">
        <f t="shared" si="9"/>
        <v>31</v>
      </c>
    </row>
    <row r="91" spans="1:22" ht="15" hidden="1">
      <c r="A91" s="167"/>
      <c r="B91" s="168"/>
      <c r="C91" s="273"/>
      <c r="D91" s="273"/>
      <c r="E91" s="274"/>
      <c r="F91" s="275"/>
      <c r="G91" s="59" t="str">
        <f t="shared" si="6"/>
        <v/>
      </c>
      <c r="H91" s="183"/>
      <c r="I91" s="183"/>
      <c r="J91" s="59" t="str">
        <f>IF(OR(H91="",$D$69="",$N$69=""),"",IF($D$69="COBRE",VLOOKUP(CDV_PROY_MT!H91,FDV!$H$16:$K$24,IF(CDV_PROY_MT!$N$69="3F",3,4),FALSE),IF($D$69="ACS",VLOOKUP(CDV_PROY_MT!H91,FDV!$H$10:$K$15,IF(CDV_PROY_MT!$N$69="3F",3,4),FALSE),IF($D$69="5005 (PREENSAMBLADO)",VLOOKUP(CDV_PROY_MT!H91,FDV!$H$4:$K$9,IF(CDV_PROY_MT!$N$69="3F",3,4),FALSE),VLOOKUP(CDV_PROY_MT!H91,FDV!$H$25:$K$30,IF(CDV_PROY_MT!$N$69="3F",3,4),FALSE)))))</f>
        <v/>
      </c>
      <c r="K91" s="63" t="str">
        <f t="shared" si="10"/>
        <v/>
      </c>
      <c r="L91" s="62" t="str">
        <f t="shared" si="7"/>
        <v/>
      </c>
      <c r="M91" s="62" t="str">
        <f t="shared" si="11"/>
        <v/>
      </c>
      <c r="N91" s="155"/>
      <c r="U91" s="138">
        <f t="shared" si="8"/>
        <v>0</v>
      </c>
      <c r="V91" s="138">
        <f t="shared" si="9"/>
        <v>0</v>
      </c>
    </row>
    <row r="92" spans="1:22" ht="15" hidden="1">
      <c r="A92" s="175"/>
      <c r="B92" s="176"/>
      <c r="C92" s="273"/>
      <c r="D92" s="273"/>
      <c r="E92" s="274"/>
      <c r="F92" s="275"/>
      <c r="G92" s="59" t="str">
        <f t="shared" si="6"/>
        <v/>
      </c>
      <c r="H92" s="183"/>
      <c r="I92" s="183"/>
      <c r="J92" s="59" t="str">
        <f>IF(OR(H92="",$D$69="",$N$69=""),"",IF($D$69="COBRE",VLOOKUP(CDV_PROY_MT!H92,FDV!$H$16:$K$24,IF(CDV_PROY_MT!$N$69="3F",3,4),FALSE),IF($D$69="ACS",VLOOKUP(CDV_PROY_MT!H92,FDV!$H$10:$K$15,IF(CDV_PROY_MT!$N$69="3F",3,4),FALSE),IF($D$69="5005 (PREENSAMBLADO)",VLOOKUP(CDV_PROY_MT!H92,FDV!$H$4:$K$9,IF(CDV_PROY_MT!$N$69="3F",3,4),FALSE),VLOOKUP(CDV_PROY_MT!H92,FDV!$H$25:$K$30,IF(CDV_PROY_MT!$N$69="3F",3,4),FALSE)))))</f>
        <v/>
      </c>
      <c r="K92" s="63" t="str">
        <f t="shared" si="10"/>
        <v/>
      </c>
      <c r="L92" s="62" t="str">
        <f t="shared" si="7"/>
        <v/>
      </c>
      <c r="M92" s="62" t="str">
        <f t="shared" si="11"/>
        <v/>
      </c>
      <c r="N92" s="155"/>
      <c r="U92" s="138">
        <f t="shared" si="8"/>
        <v>0</v>
      </c>
      <c r="V92" s="138">
        <f t="shared" si="9"/>
        <v>0</v>
      </c>
    </row>
    <row r="93" spans="1:22" ht="15" hidden="1">
      <c r="A93" s="167"/>
      <c r="B93" s="168"/>
      <c r="C93" s="273"/>
      <c r="D93" s="273"/>
      <c r="E93" s="274"/>
      <c r="F93" s="275"/>
      <c r="G93" s="59" t="str">
        <f t="shared" si="6"/>
        <v/>
      </c>
      <c r="H93" s="183"/>
      <c r="I93" s="183"/>
      <c r="J93" s="59" t="str">
        <f>IF(OR(H93="",$D$69="",$N$69=""),"",IF($D$69="COBRE",VLOOKUP(CDV_PROY_MT!H93,FDV!$H$16:$K$24,IF(CDV_PROY_MT!$N$69="3F",3,4),FALSE),IF($D$69="ACS",VLOOKUP(CDV_PROY_MT!H93,FDV!$H$10:$K$15,IF(CDV_PROY_MT!$N$69="3F",3,4),FALSE),IF($D$69="5005 (PREENSAMBLADO)",VLOOKUP(CDV_PROY_MT!H93,FDV!$H$4:$K$9,IF(CDV_PROY_MT!$N$69="3F",3,4),FALSE),VLOOKUP(CDV_PROY_MT!H93,FDV!$H$25:$K$30,IF(CDV_PROY_MT!$N$69="3F",3,4),FALSE)))))</f>
        <v/>
      </c>
      <c r="K93" s="63" t="str">
        <f t="shared" si="10"/>
        <v/>
      </c>
      <c r="L93" s="62" t="str">
        <f t="shared" si="7"/>
        <v/>
      </c>
      <c r="M93" s="62" t="str">
        <f t="shared" si="11"/>
        <v/>
      </c>
      <c r="N93" s="155"/>
      <c r="U93" s="138">
        <f t="shared" si="8"/>
        <v>0</v>
      </c>
      <c r="V93" s="138">
        <f t="shared" si="9"/>
        <v>0</v>
      </c>
    </row>
    <row r="94" spans="1:22" ht="15" hidden="1">
      <c r="A94" s="167"/>
      <c r="B94" s="168"/>
      <c r="C94" s="273"/>
      <c r="D94" s="273"/>
      <c r="E94" s="274"/>
      <c r="F94" s="275"/>
      <c r="G94" s="59" t="str">
        <f t="shared" si="6"/>
        <v/>
      </c>
      <c r="H94" s="183"/>
      <c r="I94" s="183"/>
      <c r="J94" s="59" t="str">
        <f>IF(OR(H94="",$D$69="",$N$69=""),"",IF($D$69="COBRE",VLOOKUP(CDV_PROY_MT!H94,FDV!$H$16:$K$24,IF(CDV_PROY_MT!$N$69="3F",3,4),FALSE),IF($D$69="ACS",VLOOKUP(CDV_PROY_MT!H94,FDV!$H$10:$K$15,IF(CDV_PROY_MT!$N$69="3F",3,4),FALSE),IF($D$69="5005 (PREENSAMBLADO)",VLOOKUP(CDV_PROY_MT!H94,FDV!$H$4:$K$9,IF(CDV_PROY_MT!$N$69="3F",3,4),FALSE),VLOOKUP(CDV_PROY_MT!H94,FDV!$H$25:$K$30,IF(CDV_PROY_MT!$N$69="3F",3,4),FALSE)))))</f>
        <v/>
      </c>
      <c r="K94" s="63" t="str">
        <f t="shared" si="10"/>
        <v/>
      </c>
      <c r="L94" s="62" t="str">
        <f t="shared" si="7"/>
        <v/>
      </c>
      <c r="M94" s="62" t="str">
        <f t="shared" si="11"/>
        <v/>
      </c>
      <c r="N94" s="155"/>
      <c r="U94" s="138">
        <f t="shared" si="8"/>
        <v>0</v>
      </c>
      <c r="V94" s="138">
        <f t="shared" si="9"/>
        <v>0</v>
      </c>
    </row>
    <row r="95" spans="1:22" ht="15" hidden="1">
      <c r="A95" s="167"/>
      <c r="B95" s="168"/>
      <c r="C95" s="273"/>
      <c r="D95" s="273"/>
      <c r="E95" s="274"/>
      <c r="F95" s="275"/>
      <c r="G95" s="59" t="str">
        <f t="shared" si="6"/>
        <v/>
      </c>
      <c r="H95" s="183"/>
      <c r="I95" s="183"/>
      <c r="J95" s="59" t="str">
        <f>IF(OR(H95="",$D$69="",$N$69=""),"",IF($D$69="COBRE",VLOOKUP(CDV_PROY_MT!H95,FDV!$H$16:$K$24,IF(CDV_PROY_MT!$N$69="3F",3,4),FALSE),IF($D$69="ACS",VLOOKUP(CDV_PROY_MT!H95,FDV!$H$10:$K$15,IF(CDV_PROY_MT!$N$69="3F",3,4),FALSE),IF($D$69="5005 (PREENSAMBLADO)",VLOOKUP(CDV_PROY_MT!H95,FDV!$H$4:$K$9,IF(CDV_PROY_MT!$N$69="3F",3,4),FALSE),VLOOKUP(CDV_PROY_MT!H95,FDV!$H$25:$K$30,IF(CDV_PROY_MT!$N$69="3F",3,4),FALSE)))))</f>
        <v/>
      </c>
      <c r="K95" s="63" t="str">
        <f t="shared" si="10"/>
        <v/>
      </c>
      <c r="L95" s="62" t="str">
        <f t="shared" si="7"/>
        <v/>
      </c>
      <c r="M95" s="62" t="str">
        <f t="shared" si="11"/>
        <v/>
      </c>
      <c r="N95" s="155"/>
      <c r="U95" s="138">
        <f t="shared" si="8"/>
        <v>0</v>
      </c>
      <c r="V95" s="138">
        <f t="shared" si="9"/>
        <v>0</v>
      </c>
    </row>
    <row r="96" spans="1:22" ht="15" hidden="1">
      <c r="A96" s="167"/>
      <c r="B96" s="168"/>
      <c r="C96" s="273"/>
      <c r="D96" s="273"/>
      <c r="E96" s="274"/>
      <c r="F96" s="275"/>
      <c r="G96" s="59" t="str">
        <f t="shared" si="6"/>
        <v/>
      </c>
      <c r="H96" s="183"/>
      <c r="I96" s="183"/>
      <c r="J96" s="59" t="str">
        <f>IF(OR(H96="",$D$69="",$N$69=""),"",IF($D$69="COBRE",VLOOKUP(CDV_PROY_MT!H96,FDV!$H$16:$K$24,IF(CDV_PROY_MT!$N$69="3F",3,4),FALSE),IF($D$69="ACS",VLOOKUP(CDV_PROY_MT!H96,FDV!$H$10:$K$15,IF(CDV_PROY_MT!$N$69="3F",3,4),FALSE),IF($D$69="5005 (PREENSAMBLADO)",VLOOKUP(CDV_PROY_MT!H96,FDV!$H$4:$K$9,IF(CDV_PROY_MT!$N$69="3F",3,4),FALSE),VLOOKUP(CDV_PROY_MT!H96,FDV!$H$25:$K$30,IF(CDV_PROY_MT!$N$69="3F",3,4),FALSE)))))</f>
        <v/>
      </c>
      <c r="K96" s="63" t="str">
        <f t="shared" si="10"/>
        <v/>
      </c>
      <c r="L96" s="62" t="str">
        <f t="shared" si="7"/>
        <v/>
      </c>
      <c r="M96" s="62" t="str">
        <f t="shared" si="11"/>
        <v/>
      </c>
      <c r="N96" s="155"/>
      <c r="U96" s="138">
        <f t="shared" si="8"/>
        <v>0</v>
      </c>
      <c r="V96" s="138">
        <f t="shared" si="9"/>
        <v>0</v>
      </c>
    </row>
    <row r="97" spans="1:22" ht="15" hidden="1">
      <c r="A97" s="167"/>
      <c r="B97" s="168"/>
      <c r="C97" s="273"/>
      <c r="D97" s="273"/>
      <c r="E97" s="274"/>
      <c r="F97" s="275"/>
      <c r="G97" s="59" t="str">
        <f t="shared" si="6"/>
        <v/>
      </c>
      <c r="H97" s="183"/>
      <c r="I97" s="183"/>
      <c r="J97" s="59" t="str">
        <f>IF(OR(H97="",$D$69="",$N$69=""),"",IF($D$69="COBRE",VLOOKUP(CDV_PROY_MT!H97,FDV!$H$16:$K$24,IF(CDV_PROY_MT!$N$69="3F",3,4),FALSE),IF($D$69="ACS",VLOOKUP(CDV_PROY_MT!H97,FDV!$H$10:$K$15,IF(CDV_PROY_MT!$N$69="3F",3,4),FALSE),IF($D$69="5005 (PREENSAMBLADO)",VLOOKUP(CDV_PROY_MT!H97,FDV!$H$4:$K$9,IF(CDV_PROY_MT!$N$69="3F",3,4),FALSE),VLOOKUP(CDV_PROY_MT!H97,FDV!$H$25:$K$30,IF(CDV_PROY_MT!$N$69="3F",3,4),FALSE)))))</f>
        <v/>
      </c>
      <c r="K97" s="63" t="str">
        <f t="shared" si="10"/>
        <v/>
      </c>
      <c r="L97" s="62" t="str">
        <f t="shared" si="7"/>
        <v/>
      </c>
      <c r="M97" s="62" t="str">
        <f t="shared" si="11"/>
        <v/>
      </c>
      <c r="N97" s="155"/>
      <c r="U97" s="138">
        <f t="shared" si="8"/>
        <v>0</v>
      </c>
      <c r="V97" s="138">
        <f t="shared" si="9"/>
        <v>0</v>
      </c>
    </row>
    <row r="98" spans="1:22" ht="15" hidden="1">
      <c r="A98" s="167"/>
      <c r="B98" s="168"/>
      <c r="C98" s="273"/>
      <c r="D98" s="273"/>
      <c r="E98" s="274"/>
      <c r="F98" s="275"/>
      <c r="G98" s="59" t="str">
        <f t="shared" si="6"/>
        <v/>
      </c>
      <c r="H98" s="183"/>
      <c r="I98" s="183"/>
      <c r="J98" s="59" t="str">
        <f>IF(OR(H98="",$D$69="",$N$69=""),"",IF($D$69="COBRE",VLOOKUP(CDV_PROY_MT!H98,FDV!$H$16:$K$24,IF(CDV_PROY_MT!$N$69="3F",3,4),FALSE),IF($D$69="ACS",VLOOKUP(CDV_PROY_MT!H98,FDV!$H$10:$K$15,IF(CDV_PROY_MT!$N$69="3F",3,4),FALSE),IF($D$69="5005 (PREENSAMBLADO)",VLOOKUP(CDV_PROY_MT!H98,FDV!$H$4:$K$9,IF(CDV_PROY_MT!$N$69="3F",3,4),FALSE),VLOOKUP(CDV_PROY_MT!H98,FDV!$H$25:$K$30,IF(CDV_PROY_MT!$N$69="3F",3,4),FALSE)))))</f>
        <v/>
      </c>
      <c r="K98" s="63" t="str">
        <f t="shared" si="10"/>
        <v/>
      </c>
      <c r="L98" s="62" t="str">
        <f t="shared" si="7"/>
        <v/>
      </c>
      <c r="M98" s="62" t="str">
        <f t="shared" si="11"/>
        <v/>
      </c>
      <c r="N98" s="155"/>
      <c r="U98" s="138">
        <f t="shared" si="8"/>
        <v>0</v>
      </c>
      <c r="V98" s="138">
        <f t="shared" si="9"/>
        <v>0</v>
      </c>
    </row>
    <row r="99" spans="1:22" ht="15" hidden="1">
      <c r="A99" s="167"/>
      <c r="B99" s="168"/>
      <c r="C99" s="273"/>
      <c r="D99" s="273"/>
      <c r="E99" s="274"/>
      <c r="F99" s="275"/>
      <c r="G99" s="59" t="str">
        <f t="shared" si="6"/>
        <v/>
      </c>
      <c r="H99" s="183"/>
      <c r="I99" s="183"/>
      <c r="J99" s="59" t="str">
        <f>IF(OR(H99="",$D$69="",$N$69=""),"",IF($D$69="COBRE",VLOOKUP(CDV_PROY_MT!H99,FDV!$H$16:$K$24,IF(CDV_PROY_MT!$N$69="3F",3,4),FALSE),IF($D$69="ACS",VLOOKUP(CDV_PROY_MT!H99,FDV!$H$10:$K$15,IF(CDV_PROY_MT!$N$69="3F",3,4),FALSE),IF($D$69="5005 (PREENSAMBLADO)",VLOOKUP(CDV_PROY_MT!H99,FDV!$H$4:$K$9,IF(CDV_PROY_MT!$N$69="3F",3,4),FALSE),VLOOKUP(CDV_PROY_MT!H99,FDV!$H$25:$K$30,IF(CDV_PROY_MT!$N$69="3F",3,4),FALSE)))))</f>
        <v/>
      </c>
      <c r="K99" s="63" t="str">
        <f t="shared" si="10"/>
        <v/>
      </c>
      <c r="L99" s="62" t="str">
        <f t="shared" si="7"/>
        <v/>
      </c>
      <c r="M99" s="62" t="str">
        <f t="shared" si="11"/>
        <v/>
      </c>
      <c r="N99" s="155"/>
      <c r="U99" s="138">
        <f t="shared" si="8"/>
        <v>0</v>
      </c>
      <c r="V99" s="138">
        <f t="shared" si="9"/>
        <v>0</v>
      </c>
    </row>
    <row r="100" spans="1:22" ht="15" hidden="1">
      <c r="A100" s="167"/>
      <c r="B100" s="168"/>
      <c r="C100" s="273"/>
      <c r="D100" s="273"/>
      <c r="E100" s="274"/>
      <c r="F100" s="275"/>
      <c r="G100" s="59" t="str">
        <f t="shared" si="6"/>
        <v/>
      </c>
      <c r="H100" s="183"/>
      <c r="I100" s="183"/>
      <c r="J100" s="59" t="str">
        <f>IF(OR(H100="",$D$69="",$N$69=""),"",IF($D$69="COBRE",VLOOKUP(CDV_PROY_MT!H100,FDV!$H$16:$K$24,IF(CDV_PROY_MT!$N$69="3F",3,4),FALSE),IF($D$69="ACS",VLOOKUP(CDV_PROY_MT!H100,FDV!$H$10:$K$15,IF(CDV_PROY_MT!$N$69="3F",3,4),FALSE),IF($D$69="5005 (PREENSAMBLADO)",VLOOKUP(CDV_PROY_MT!H100,FDV!$H$4:$K$9,IF(CDV_PROY_MT!$N$69="3F",3,4),FALSE),VLOOKUP(CDV_PROY_MT!H100,FDV!$H$25:$K$30,IF(CDV_PROY_MT!$N$69="3F",3,4),FALSE)))))</f>
        <v/>
      </c>
      <c r="K100" s="63" t="str">
        <f t="shared" si="10"/>
        <v/>
      </c>
      <c r="L100" s="62" t="str">
        <f t="shared" si="7"/>
        <v/>
      </c>
      <c r="M100" s="62" t="str">
        <f t="shared" si="11"/>
        <v/>
      </c>
      <c r="N100" s="155"/>
      <c r="U100" s="138">
        <f t="shared" si="8"/>
        <v>0</v>
      </c>
      <c r="V100" s="138">
        <f t="shared" si="9"/>
        <v>0</v>
      </c>
    </row>
    <row r="101" spans="1:22" ht="15" hidden="1">
      <c r="A101" s="167"/>
      <c r="B101" s="168"/>
      <c r="C101" s="273"/>
      <c r="D101" s="273"/>
      <c r="E101" s="274"/>
      <c r="F101" s="275"/>
      <c r="G101" s="59" t="str">
        <f t="shared" si="6"/>
        <v/>
      </c>
      <c r="H101" s="183"/>
      <c r="I101" s="183"/>
      <c r="J101" s="59" t="str">
        <f>IF(OR(H101="",$D$69="",$N$69=""),"",IF($D$69="COBRE",VLOOKUP(CDV_PROY_MT!H101,FDV!$H$16:$K$24,IF(CDV_PROY_MT!$N$69="3F",3,4),FALSE),IF($D$69="ACS",VLOOKUP(CDV_PROY_MT!H101,FDV!$H$10:$K$15,IF(CDV_PROY_MT!$N$69="3F",3,4),FALSE),IF($D$69="5005 (PREENSAMBLADO)",VLOOKUP(CDV_PROY_MT!H101,FDV!$H$4:$K$9,IF(CDV_PROY_MT!$N$69="3F",3,4),FALSE),VLOOKUP(CDV_PROY_MT!H101,FDV!$H$25:$K$30,IF(CDV_PROY_MT!$N$69="3F",3,4),FALSE)))))</f>
        <v/>
      </c>
      <c r="K101" s="63" t="str">
        <f t="shared" si="10"/>
        <v/>
      </c>
      <c r="L101" s="62" t="str">
        <f t="shared" si="7"/>
        <v/>
      </c>
      <c r="M101" s="62" t="str">
        <f t="shared" si="11"/>
        <v/>
      </c>
      <c r="N101" s="155"/>
      <c r="U101" s="138">
        <f t="shared" si="8"/>
        <v>0</v>
      </c>
      <c r="V101" s="138">
        <f t="shared" si="9"/>
        <v>0</v>
      </c>
    </row>
    <row r="102" spans="1:22" ht="15" hidden="1">
      <c r="A102" s="167"/>
      <c r="B102" s="168"/>
      <c r="C102" s="273"/>
      <c r="D102" s="273"/>
      <c r="E102" s="274"/>
      <c r="F102" s="275"/>
      <c r="G102" s="59" t="str">
        <f t="shared" si="6"/>
        <v/>
      </c>
      <c r="H102" s="183"/>
      <c r="I102" s="183"/>
      <c r="J102" s="59" t="str">
        <f>IF(OR(H102="",$D$69="",$N$69=""),"",IF($D$69="COBRE",VLOOKUP(CDV_PROY_MT!H102,FDV!$H$16:$K$24,IF(CDV_PROY_MT!$N$69="3F",3,4),FALSE),IF($D$69="ACS",VLOOKUP(CDV_PROY_MT!H102,FDV!$H$10:$K$15,IF(CDV_PROY_MT!$N$69="3F",3,4),FALSE),IF($D$69="5005 (PREENSAMBLADO)",VLOOKUP(CDV_PROY_MT!H102,FDV!$H$4:$K$9,IF(CDV_PROY_MT!$N$69="3F",3,4),FALSE),VLOOKUP(CDV_PROY_MT!H102,FDV!$H$25:$K$30,IF(CDV_PROY_MT!$N$69="3F",3,4),FALSE)))))</f>
        <v/>
      </c>
      <c r="K102" s="63" t="str">
        <f t="shared" si="10"/>
        <v/>
      </c>
      <c r="L102" s="62" t="str">
        <f t="shared" si="7"/>
        <v/>
      </c>
      <c r="M102" s="62" t="str">
        <f t="shared" si="11"/>
        <v/>
      </c>
      <c r="N102" s="155"/>
      <c r="U102" s="138">
        <f t="shared" si="8"/>
        <v>0</v>
      </c>
      <c r="V102" s="138">
        <f t="shared" si="9"/>
        <v>0</v>
      </c>
    </row>
    <row r="103" spans="1:22" ht="15" hidden="1">
      <c r="A103" s="167"/>
      <c r="B103" s="168"/>
      <c r="C103" s="273"/>
      <c r="D103" s="273"/>
      <c r="E103" s="274"/>
      <c r="F103" s="275"/>
      <c r="G103" s="59" t="str">
        <f t="shared" si="6"/>
        <v/>
      </c>
      <c r="H103" s="183"/>
      <c r="I103" s="183"/>
      <c r="J103" s="59" t="str">
        <f>IF(OR(H103="",$D$69="",$N$69=""),"",IF($D$69="COBRE",VLOOKUP(CDV_PROY_MT!H103,FDV!$H$16:$K$24,IF(CDV_PROY_MT!$N$69="3F",3,4),FALSE),IF($D$69="ACS",VLOOKUP(CDV_PROY_MT!H103,FDV!$H$10:$K$15,IF(CDV_PROY_MT!$N$69="3F",3,4),FALSE),IF($D$69="5005 (PREENSAMBLADO)",VLOOKUP(CDV_PROY_MT!H103,FDV!$H$4:$K$9,IF(CDV_PROY_MT!$N$69="3F",3,4),FALSE),VLOOKUP(CDV_PROY_MT!H103,FDV!$H$25:$K$30,IF(CDV_PROY_MT!$N$69="3F",3,4),FALSE)))))</f>
        <v/>
      </c>
      <c r="K103" s="63" t="str">
        <f t="shared" si="10"/>
        <v/>
      </c>
      <c r="L103" s="62" t="str">
        <f t="shared" si="7"/>
        <v/>
      </c>
      <c r="M103" s="62" t="str">
        <f t="shared" si="11"/>
        <v/>
      </c>
      <c r="N103" s="155"/>
      <c r="U103" s="138">
        <f t="shared" si="8"/>
        <v>0</v>
      </c>
      <c r="V103" s="138">
        <f t="shared" si="9"/>
        <v>0</v>
      </c>
    </row>
    <row r="104" spans="1:22" ht="15" hidden="1">
      <c r="A104" s="167"/>
      <c r="B104" s="168"/>
      <c r="C104" s="273"/>
      <c r="D104" s="273"/>
      <c r="E104" s="274"/>
      <c r="F104" s="275"/>
      <c r="G104" s="59" t="str">
        <f t="shared" si="6"/>
        <v/>
      </c>
      <c r="H104" s="183"/>
      <c r="I104" s="183"/>
      <c r="J104" s="59" t="str">
        <f>IF(OR(H104="",$D$69="",$N$69=""),"",IF($D$69="COBRE",VLOOKUP(CDV_PROY_MT!H104,FDV!$H$16:$K$24,IF(CDV_PROY_MT!$N$69="3F",3,4),FALSE),IF($D$69="ACS",VLOOKUP(CDV_PROY_MT!H104,FDV!$H$10:$K$15,IF(CDV_PROY_MT!$N$69="3F",3,4),FALSE),IF($D$69="5005 (PREENSAMBLADO)",VLOOKUP(CDV_PROY_MT!H104,FDV!$H$4:$K$9,IF(CDV_PROY_MT!$N$69="3F",3,4),FALSE),VLOOKUP(CDV_PROY_MT!H104,FDV!$H$25:$K$30,IF(CDV_PROY_MT!$N$69="3F",3,4),FALSE)))))</f>
        <v/>
      </c>
      <c r="K104" s="63" t="str">
        <f t="shared" si="10"/>
        <v/>
      </c>
      <c r="L104" s="62" t="str">
        <f t="shared" si="7"/>
        <v/>
      </c>
      <c r="M104" s="62" t="str">
        <f t="shared" si="11"/>
        <v/>
      </c>
      <c r="N104" s="155"/>
      <c r="U104" s="138">
        <f t="shared" si="8"/>
        <v>0</v>
      </c>
      <c r="V104" s="138">
        <f t="shared" si="9"/>
        <v>0</v>
      </c>
    </row>
    <row r="105" spans="1:22" ht="15" hidden="1">
      <c r="A105" s="167"/>
      <c r="B105" s="168"/>
      <c r="C105" s="273"/>
      <c r="D105" s="273"/>
      <c r="E105" s="274"/>
      <c r="F105" s="275"/>
      <c r="G105" s="59" t="str">
        <f t="shared" si="6"/>
        <v/>
      </c>
      <c r="H105" s="183"/>
      <c r="I105" s="183"/>
      <c r="J105" s="59" t="str">
        <f>IF(OR(H105="",$D$69="",$N$69=""),"",IF($D$69="COBRE",VLOOKUP(CDV_PROY_MT!H105,FDV!$H$16:$K$24,IF(CDV_PROY_MT!$N$69="3F",3,4),FALSE),IF($D$69="ACS",VLOOKUP(CDV_PROY_MT!H105,FDV!$H$10:$K$15,IF(CDV_PROY_MT!$N$69="3F",3,4),FALSE),IF($D$69="5005 (PREENSAMBLADO)",VLOOKUP(CDV_PROY_MT!H105,FDV!$H$4:$K$9,IF(CDV_PROY_MT!$N$69="3F",3,4),FALSE),VLOOKUP(CDV_PROY_MT!H105,FDV!$H$25:$K$30,IF(CDV_PROY_MT!$N$69="3F",3,4),FALSE)))))</f>
        <v/>
      </c>
      <c r="K105" s="63" t="str">
        <f t="shared" si="10"/>
        <v/>
      </c>
      <c r="L105" s="62" t="str">
        <f t="shared" si="7"/>
        <v/>
      </c>
      <c r="M105" s="62" t="str">
        <f t="shared" si="11"/>
        <v/>
      </c>
      <c r="N105" s="155"/>
      <c r="U105" s="138">
        <f t="shared" si="8"/>
        <v>0</v>
      </c>
      <c r="V105" s="138">
        <f t="shared" si="9"/>
        <v>0</v>
      </c>
    </row>
    <row r="106" spans="1:22" ht="15" hidden="1">
      <c r="A106" s="167"/>
      <c r="B106" s="168"/>
      <c r="C106" s="273"/>
      <c r="D106" s="273"/>
      <c r="E106" s="274"/>
      <c r="F106" s="275"/>
      <c r="G106" s="59" t="str">
        <f t="shared" si="6"/>
        <v/>
      </c>
      <c r="H106" s="183"/>
      <c r="I106" s="183"/>
      <c r="J106" s="59" t="str">
        <f>IF(OR(H106="",$D$69="",$N$69=""),"",IF($D$69="COBRE",VLOOKUP(CDV_PROY_MT!H106,FDV!$H$16:$K$24,IF(CDV_PROY_MT!$N$69="3F",3,4),FALSE),IF($D$69="ACS",VLOOKUP(CDV_PROY_MT!H106,FDV!$H$10:$K$15,IF(CDV_PROY_MT!$N$69="3F",3,4),FALSE),IF($D$69="5005 (PREENSAMBLADO)",VLOOKUP(CDV_PROY_MT!H106,FDV!$H$4:$K$9,IF(CDV_PROY_MT!$N$69="3F",3,4),FALSE),VLOOKUP(CDV_PROY_MT!H106,FDV!$H$25:$K$30,IF(CDV_PROY_MT!$N$69="3F",3,4),FALSE)))))</f>
        <v/>
      </c>
      <c r="K106" s="63" t="str">
        <f t="shared" si="10"/>
        <v/>
      </c>
      <c r="L106" s="62" t="str">
        <f t="shared" si="7"/>
        <v/>
      </c>
      <c r="M106" s="62" t="str">
        <f t="shared" si="11"/>
        <v/>
      </c>
      <c r="N106" s="155"/>
      <c r="U106" s="138">
        <f t="shared" si="8"/>
        <v>0</v>
      </c>
      <c r="V106" s="138">
        <f t="shared" si="9"/>
        <v>0</v>
      </c>
    </row>
    <row r="107" spans="1:22" ht="15" hidden="1">
      <c r="A107" s="167"/>
      <c r="B107" s="168"/>
      <c r="C107" s="273"/>
      <c r="D107" s="273"/>
      <c r="E107" s="274"/>
      <c r="F107" s="275"/>
      <c r="G107" s="59" t="str">
        <f t="shared" si="6"/>
        <v/>
      </c>
      <c r="H107" s="183"/>
      <c r="I107" s="183"/>
      <c r="J107" s="59" t="str">
        <f>IF(OR(H107="",$D$69="",$N$69=""),"",IF($D$69="COBRE",VLOOKUP(CDV_PROY_MT!H107,FDV!$H$16:$K$24,IF(CDV_PROY_MT!$N$69="3F",3,4),FALSE),IF($D$69="ACS",VLOOKUP(CDV_PROY_MT!H107,FDV!$H$10:$K$15,IF(CDV_PROY_MT!$N$69="3F",3,4),FALSE),IF($D$69="5005 (PREENSAMBLADO)",VLOOKUP(CDV_PROY_MT!H107,FDV!$H$4:$K$9,IF(CDV_PROY_MT!$N$69="3F",3,4),FALSE),VLOOKUP(CDV_PROY_MT!H107,FDV!$H$25:$K$30,IF(CDV_PROY_MT!$N$69="3F",3,4),FALSE)))))</f>
        <v/>
      </c>
      <c r="K107" s="63" t="str">
        <f t="shared" si="10"/>
        <v/>
      </c>
      <c r="L107" s="62" t="str">
        <f t="shared" si="7"/>
        <v/>
      </c>
      <c r="M107" s="62" t="str">
        <f t="shared" si="11"/>
        <v/>
      </c>
      <c r="N107" s="156"/>
      <c r="U107" s="138">
        <f t="shared" si="8"/>
        <v>0</v>
      </c>
      <c r="V107" s="138">
        <f t="shared" si="9"/>
        <v>0</v>
      </c>
    </row>
    <row r="108" spans="1:22" ht="15.75" hidden="1" thickBot="1">
      <c r="A108" s="178"/>
      <c r="B108" s="179"/>
      <c r="C108" s="276"/>
      <c r="D108" s="276"/>
      <c r="E108" s="277"/>
      <c r="F108" s="278"/>
      <c r="G108" s="69"/>
      <c r="H108" s="184"/>
      <c r="I108" s="184"/>
      <c r="J108" s="69" t="str">
        <f>IF(OR(H108="",$D$69="",$N$69=""),"",IF($D$69="COBRE",VLOOKUP(CDV_PROY_MT!H108,FDV!$H$16:$K$24,IF(CDV_PROY_MT!$N$69="3F",3,4),FALSE),IF($D$69="ACS",VLOOKUP(CDV_PROY_MT!H108,FDV!$H$10:$K$15,IF(CDV_PROY_MT!$N$69="3F",3,4),FALSE),IF($D$69="5005 (PREENSAMBLADO)",VLOOKUP(CDV_PROY_MT!H108,FDV!$H$4:$K$9,IF(CDV_PROY_MT!$N$69="3F",3,4),FALSE),VLOOKUP(CDV_PROY_MT!H108,FDV!$H$25:$K$30,IF(CDV_PROY_MT!$N$69="3F",3,4),FALSE)))))</f>
        <v/>
      </c>
      <c r="K108" s="65" t="str">
        <f t="shared" si="10"/>
        <v/>
      </c>
      <c r="L108" s="64"/>
      <c r="M108" s="64" t="str">
        <f t="shared" si="11"/>
        <v/>
      </c>
      <c r="N108" s="157"/>
      <c r="U108" s="138">
        <f t="shared" si="8"/>
        <v>0</v>
      </c>
      <c r="V108" s="138">
        <f t="shared" si="9"/>
        <v>0</v>
      </c>
    </row>
    <row r="109" spans="1:22" ht="15.75" hidden="1" thickBot="1">
      <c r="A109" s="143"/>
      <c r="B109" s="67" t="str">
        <f>IF(N78="","",N78)</f>
        <v>P30</v>
      </c>
      <c r="C109" s="144"/>
      <c r="D109" s="144"/>
      <c r="E109" s="145"/>
      <c r="F109" s="68" t="str">
        <f>IF($N$8="","",IF($N$8="INDUSTRIAL",IF(OR($D$6="",$D$12=""),"",IF(OR(D109&gt;$D$13,E109&gt;$D$14),"Rev. Total. abona.",IF(D109="",IF(E109="","",E109/(0.9*1000)),IF(OR($D$6="SAN CRISTOBAL",$D$6="FLOREANA"),VLOOKUP(D109,'Estratos SCY - FLO'!$A$4:$M$108,IF($D$12="A1",2,IF($D$12="A",5,IF($D$12="B",8,11))))+E109/(0.92*1000),VLOOKUP(D109,'Estratos SCX - ISA'!$A$3:$M$107,IF($D$12="A1",2,IF($D$12="A",5,IF($D$12="B",8,11))))+E109/(0.92*1000))))),IF(OR($D$6="",$D$12=""),"",IF(OR(D109&gt;$D$13,E109&gt;$D$14),"Rev. Total. abona.",IF(D109="",IF(E109="","",E109/(0.92*1000)),IF(OR($D$6="SAN CRISTOBAL",$D$6="FLOREANA"),VLOOKUP(D109,'Estratos SCY - FLO'!$O$4:$S$108,IF($D$12="A1",2,IF($D$12="A",3,IF($D$12="B",4,5))))+E109/(0.92*1000),VLOOKUP(D109,'Estratos SCX - ISA'!$O$4:$S$108,IF($D$12="A1",2,IF($D$12="A",3,IF($D$12="B",4,5))))+E109/(0.92*1000)))))))</f>
        <v/>
      </c>
      <c r="G109" s="69" t="str">
        <f>IF(OR($N$10="",C109=""),"",IF($N$10="1F",1,3))</f>
        <v/>
      </c>
      <c r="H109" s="146" t="e">
        <f>IF(B109="","",IF(B109-A109=1,H108,""))</f>
        <v>#VALUE!</v>
      </c>
      <c r="I109" s="146"/>
      <c r="J109" s="70" t="e">
        <f>IF(OR(H109="",$D$69="",$N$69=""),"",IF($D$69="COBRE",VLOOKUP(CDV_PROY_MT!H109,FDV!$H$16:$K$24,IF(CDV_PROY_MT!$N$69="3F",3,4),FALSE),IF($D$69="ACS",VLOOKUP(CDV_PROY_MT!H109,FDV!$H$10:$K$15,IF(CDV_PROY_MT!$N$69="3F",3,4),FALSE),IF($D$69="5005 (PREENSAMBLADO)",VLOOKUP(CDV_PROY_MT!H109,FDV!$H$4:$K$9,IF(CDV_PROY_MT!$N$69="3F",3,4),FALSE),VLOOKUP(CDV_PROY_MT!H109,FDV!$H$25:$K$30,IF(CDV_PROY_MT!$N$69="3F",3,4),FALSE)))))</f>
        <v>#VALUE!</v>
      </c>
      <c r="K109" s="71" t="str">
        <f>IF(C109="","",ROUND(F109*C109,0))</f>
        <v/>
      </c>
      <c r="L109" s="68" t="str">
        <f>IF(C109="","",ROUND(K109/J109,2))</f>
        <v/>
      </c>
      <c r="M109" s="72">
        <v>0</v>
      </c>
      <c r="N109" s="66"/>
      <c r="U109" s="138">
        <f t="shared" si="8"/>
        <v>0</v>
      </c>
      <c r="V109" s="138">
        <f>IF(C109="",0,C109*G109)</f>
        <v>0</v>
      </c>
    </row>
    <row r="110" spans="1:22" ht="15.75" hidden="1" thickBot="1">
      <c r="A110" s="73" t="s">
        <v>113</v>
      </c>
      <c r="B110" s="74"/>
      <c r="C110" s="75"/>
      <c r="D110" s="75"/>
      <c r="E110" s="76"/>
      <c r="F110" s="77"/>
      <c r="G110" s="78"/>
      <c r="H110" s="79"/>
      <c r="I110" s="79"/>
      <c r="J110" s="78"/>
      <c r="K110" s="121"/>
      <c r="L110" s="121"/>
      <c r="M110" s="128"/>
      <c r="N110" s="233"/>
      <c r="U110" s="138">
        <f>+IF(D110&gt;0,C110,0)</f>
        <v>0</v>
      </c>
      <c r="V110" s="138">
        <f>IF(C110="",0,C110*G110)</f>
        <v>0</v>
      </c>
    </row>
    <row r="111" spans="1:14" ht="15.75" hidden="1" thickBot="1">
      <c r="A111" s="93" t="s">
        <v>96</v>
      </c>
      <c r="B111" s="94">
        <f>+ROUND(SUMIF(H82:H108,"4/0",V82:V110)*1.015,0)</f>
        <v>0</v>
      </c>
      <c r="C111" s="93" t="s">
        <v>97</v>
      </c>
      <c r="D111" s="94">
        <f>ROUND((SUMIF(H82:H108,"3/0",V82:V110))*1.015,0)</f>
        <v>0</v>
      </c>
      <c r="E111" s="82" t="s">
        <v>95</v>
      </c>
      <c r="F111" s="81">
        <f>ROUND((SUMIF(H82:H108,"2/0",V82:V110))*1.015,0)</f>
        <v>0</v>
      </c>
      <c r="G111" s="80" t="s">
        <v>57</v>
      </c>
      <c r="H111" s="81">
        <f>ROUND((SUMIF(H82:H108,"1/0",V82:V110))*1.015,0)</f>
        <v>0</v>
      </c>
      <c r="I111" s="93" t="s">
        <v>58</v>
      </c>
      <c r="J111" s="94">
        <f>ROUND((SUMIF(H82:H108,"2",V82:V110))*1.015,0)</f>
        <v>281</v>
      </c>
      <c r="K111" s="147"/>
      <c r="L111" s="91"/>
      <c r="M111" s="92"/>
      <c r="N111" s="234"/>
    </row>
    <row r="112" spans="1:14" ht="15.75" hidden="1" thickBot="1">
      <c r="A112" s="119" t="s">
        <v>107</v>
      </c>
      <c r="B112" s="92"/>
      <c r="C112" s="91"/>
      <c r="D112" s="92"/>
      <c r="E112" s="91"/>
      <c r="F112" s="92"/>
      <c r="G112" s="91"/>
      <c r="H112" s="92"/>
      <c r="I112" s="92"/>
      <c r="J112" s="91"/>
      <c r="K112" s="92"/>
      <c r="L112" s="91"/>
      <c r="M112" s="92"/>
      <c r="N112" s="234"/>
    </row>
    <row r="113" spans="1:14" ht="15.75" hidden="1" thickBot="1">
      <c r="A113" s="93" t="s">
        <v>96</v>
      </c>
      <c r="B113" s="94">
        <f>+ROUND(SUMIF(I82:I108,"4/0",U82:U110)*1.015,0)</f>
        <v>0</v>
      </c>
      <c r="C113" s="93" t="s">
        <v>97</v>
      </c>
      <c r="D113" s="94">
        <f>ROUND((SUMIF(I82:I108,"3/0",U82:U110))*1.015,0)</f>
        <v>0</v>
      </c>
      <c r="E113" s="93" t="s">
        <v>95</v>
      </c>
      <c r="F113" s="94">
        <f>ROUND((SUMIF(I82:I108,"2/0",U82:U110))*1.015,0)</f>
        <v>0</v>
      </c>
      <c r="G113" s="93" t="s">
        <v>57</v>
      </c>
      <c r="H113" s="94">
        <f>ROUND((SUMIF(I82:I108,"1/0",U82:U110))*1.015,0)</f>
        <v>0</v>
      </c>
      <c r="I113" s="93" t="s">
        <v>58</v>
      </c>
      <c r="J113" s="94">
        <f>ROUND((SUMIF(I82:I108,"2",U82:U110))*1.015,0)</f>
        <v>281</v>
      </c>
      <c r="L113" s="91"/>
      <c r="M113" s="92"/>
      <c r="N113" s="234"/>
    </row>
    <row r="114" spans="1:14" ht="15.75" hidden="1" thickBot="1">
      <c r="A114" s="235" t="s">
        <v>123</v>
      </c>
      <c r="B114" s="235"/>
      <c r="C114" s="235"/>
      <c r="D114" s="21">
        <f>IF(N69="","",SUM(C82:C108))</f>
        <v>277</v>
      </c>
      <c r="E114" s="28" t="s">
        <v>59</v>
      </c>
      <c r="G114" s="21"/>
      <c r="H114" s="21"/>
      <c r="I114" s="21"/>
      <c r="J114" s="21"/>
      <c r="K114" s="21"/>
      <c r="L114" s="21"/>
      <c r="M114" s="23"/>
      <c r="N114" s="83" t="s">
        <v>80</v>
      </c>
    </row>
    <row r="115" spans="1:14" ht="15" hidden="1">
      <c r="A115" s="36" t="s">
        <v>60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7"/>
      <c r="N115" s="84" t="s">
        <v>61</v>
      </c>
    </row>
    <row r="116" spans="1:14" ht="15.75" hidden="1" thickBot="1">
      <c r="A116" s="14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9"/>
      <c r="N116" s="85">
        <f>MAX(N82:N108)</f>
        <v>0.02</v>
      </c>
    </row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mergeCells count="163">
    <mergeCell ref="B115:M115"/>
    <mergeCell ref="B116:M116"/>
    <mergeCell ref="K80:K81"/>
    <mergeCell ref="L80:N80"/>
    <mergeCell ref="E30:F30"/>
    <mergeCell ref="A2:N2"/>
    <mergeCell ref="A4:N4"/>
    <mergeCell ref="D6:E6"/>
    <mergeCell ref="F6:G6"/>
    <mergeCell ref="H6:J6"/>
    <mergeCell ref="K6:L6"/>
    <mergeCell ref="M6:N6"/>
    <mergeCell ref="E82:F82"/>
    <mergeCell ref="E23:F23"/>
    <mergeCell ref="D67:F67"/>
    <mergeCell ref="H72:J72"/>
    <mergeCell ref="H73:J73"/>
    <mergeCell ref="A74:J74"/>
    <mergeCell ref="A80:B80"/>
    <mergeCell ref="G80:J80"/>
    <mergeCell ref="B56:M56"/>
    <mergeCell ref="B57:M57"/>
    <mergeCell ref="E31:F31"/>
    <mergeCell ref="E32:F32"/>
    <mergeCell ref="U21:U22"/>
    <mergeCell ref="V21:V22"/>
    <mergeCell ref="N51:N54"/>
    <mergeCell ref="A55:C55"/>
    <mergeCell ref="D8:F8"/>
    <mergeCell ref="H13:J13"/>
    <mergeCell ref="H14:J14"/>
    <mergeCell ref="A15:J15"/>
    <mergeCell ref="A21:B21"/>
    <mergeCell ref="G21:J21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1:D21"/>
    <mergeCell ref="C22:D22"/>
    <mergeCell ref="C23:D23"/>
    <mergeCell ref="E29:F29"/>
    <mergeCell ref="U80:U81"/>
    <mergeCell ref="V80:V81"/>
    <mergeCell ref="N110:N113"/>
    <mergeCell ref="A114:C114"/>
    <mergeCell ref="C80:D80"/>
    <mergeCell ref="E80:F80"/>
    <mergeCell ref="C81:D81"/>
    <mergeCell ref="E81:F81"/>
    <mergeCell ref="D10:G10"/>
    <mergeCell ref="E24:F24"/>
    <mergeCell ref="E25:F25"/>
    <mergeCell ref="E26:F26"/>
    <mergeCell ref="E27:F27"/>
    <mergeCell ref="E28:F28"/>
    <mergeCell ref="C43:D43"/>
    <mergeCell ref="C44:D44"/>
    <mergeCell ref="C45:D45"/>
    <mergeCell ref="C32:D32"/>
    <mergeCell ref="C33:D33"/>
    <mergeCell ref="C34:D34"/>
    <mergeCell ref="C35:D35"/>
    <mergeCell ref="C36:D36"/>
    <mergeCell ref="C37:D37"/>
    <mergeCell ref="C26:D26"/>
    <mergeCell ref="E33:F33"/>
    <mergeCell ref="E34:F34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C38:D38"/>
    <mergeCell ref="E35:F35"/>
    <mergeCell ref="E36:F36"/>
    <mergeCell ref="E37:F37"/>
    <mergeCell ref="E44:F44"/>
    <mergeCell ref="E45:F45"/>
    <mergeCell ref="E46:F46"/>
    <mergeCell ref="E47:F47"/>
    <mergeCell ref="E48:F48"/>
    <mergeCell ref="E38:F38"/>
    <mergeCell ref="E39:F39"/>
    <mergeCell ref="E40:F40"/>
    <mergeCell ref="E41:F41"/>
    <mergeCell ref="E42:F42"/>
    <mergeCell ref="E43:F43"/>
    <mergeCell ref="C86:D86"/>
    <mergeCell ref="E86:F86"/>
    <mergeCell ref="A61:N61"/>
    <mergeCell ref="A63:N63"/>
    <mergeCell ref="D65:E65"/>
    <mergeCell ref="F65:G65"/>
    <mergeCell ref="H65:J65"/>
    <mergeCell ref="K65:L65"/>
    <mergeCell ref="M65:N65"/>
    <mergeCell ref="D69:G69"/>
    <mergeCell ref="C87:D87"/>
    <mergeCell ref="E87:F87"/>
    <mergeCell ref="C88:D88"/>
    <mergeCell ref="E88:F88"/>
    <mergeCell ref="C82:D82"/>
    <mergeCell ref="C83:D83"/>
    <mergeCell ref="E83:F83"/>
    <mergeCell ref="C84:D84"/>
    <mergeCell ref="E84:F84"/>
    <mergeCell ref="C85:D85"/>
    <mergeCell ref="E85:F85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92:D92"/>
    <mergeCell ref="E92:F92"/>
    <mergeCell ref="C108:D108"/>
    <mergeCell ref="E108:F108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107:D107"/>
    <mergeCell ref="E107:F107"/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</mergeCells>
  <conditionalFormatting sqref="N23:N40 N42:N50 N101:N109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7" stopIfTrue="1">
      <formula>LEN(TRIM(D1))=0</formula>
    </cfRule>
  </conditionalFormatting>
  <conditionalFormatting sqref="N82:N99">
    <cfRule type="expression" priority="9" dxfId="0" stopIfTrue="1">
      <formula>$X81&gt;0</formula>
    </cfRule>
  </conditionalFormatting>
  <conditionalFormatting sqref="D67">
    <cfRule type="cellIs" priority="10" dxfId="2" operator="equal" stopIfTrue="1">
      <formula>""""""</formula>
    </cfRule>
  </conditionalFormatting>
  <conditionalFormatting sqref="N100">
    <cfRule type="expression" priority="11" dxfId="0" stopIfTrue="1">
      <formula>#REF!&gt;0</formula>
    </cfRule>
  </conditionalFormatting>
  <conditionalFormatting sqref="D65 H65 M65 D67 D69 D71:D73 H72:H73 N69 N71 N78">
    <cfRule type="containsBlanks" priority="12" dxfId="7" stopIfTrue="1">
      <formula>LEN(TRIM(D65))=0</formula>
    </cfRule>
  </conditionalFormatting>
  <conditionalFormatting sqref="N18">
    <cfRule type="containsBlanks" priority="4" dxfId="7" stopIfTrue="1">
      <formula>LEN(TRIM(N18))=0</formula>
    </cfRule>
  </conditionalFormatting>
  <conditionalFormatting sqref="N77">
    <cfRule type="containsBlanks" priority="3" dxfId="7" stopIfTrue="1">
      <formula>LEN(TRIM(N77))=0</formula>
    </cfRule>
  </conditionalFormatting>
  <conditionalFormatting sqref="N60">
    <cfRule type="containsBlanks" priority="1" dxfId="7" stopIfTrue="1">
      <formula>LEN(TRIM(N60))=0</formula>
    </cfRule>
  </conditionalFormatting>
  <dataValidations count="5">
    <dataValidation type="list" allowBlank="1" showInputMessage="1" showErrorMessage="1" sqref="H82:I108 H23:I49">
      <formula1>$AC$5:$AC$9</formula1>
    </dataValidation>
    <dataValidation type="list" allowBlank="1" showInputMessage="1" showErrorMessage="1" sqref="D8 D67">
      <formula1>$W$5:$W$7</formula1>
    </dataValidation>
    <dataValidation type="list" allowBlank="1" showInputMessage="1" showErrorMessage="1" sqref="D6 D65">
      <formula1>$U$5:$U$8</formula1>
    </dataValidation>
    <dataValidation type="list" allowBlank="1" showInputMessage="1" showErrorMessage="1" sqref="D10 D69">
      <formula1>$Y$5:$Y$8</formula1>
    </dataValidation>
    <dataValidation type="list" allowBlank="1" showInputMessage="1" showErrorMessage="1" sqref="N10 N69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rowBreaks count="1" manualBreakCount="1">
    <brk id="58" max="16383" man="1"/>
  </rowBreaks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88"/>
    </row>
    <row r="2" spans="1:14" ht="18">
      <c r="A2" s="306" t="s">
        <v>62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57" t="s">
        <v>109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46" t="s">
        <v>64</v>
      </c>
      <c r="E6" s="246"/>
      <c r="F6" s="258" t="s">
        <v>92</v>
      </c>
      <c r="G6" s="259"/>
      <c r="H6" s="307"/>
      <c r="I6" s="308"/>
      <c r="J6" s="309"/>
      <c r="K6" s="263" t="s">
        <v>81</v>
      </c>
      <c r="L6" s="264"/>
      <c r="M6" s="265"/>
      <c r="N6" s="266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45"/>
      <c r="E8" s="246"/>
      <c r="F8" s="247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48"/>
      <c r="E10" s="282"/>
      <c r="F10" s="249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127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300"/>
      <c r="I13" s="301"/>
      <c r="J13" s="301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52"/>
      <c r="I14" s="253"/>
      <c r="J14" s="253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2" t="s">
        <v>94</v>
      </c>
      <c r="B15" s="303"/>
      <c r="C15" s="303"/>
      <c r="D15" s="303"/>
      <c r="E15" s="303"/>
      <c r="F15" s="303"/>
      <c r="G15" s="303"/>
      <c r="H15" s="303"/>
      <c r="I15" s="303"/>
      <c r="J15" s="303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114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40" t="s">
        <v>38</v>
      </c>
      <c r="B22" s="241"/>
      <c r="C22" s="52" t="s">
        <v>39</v>
      </c>
      <c r="D22" s="52" t="s">
        <v>40</v>
      </c>
      <c r="E22" s="53" t="s">
        <v>41</v>
      </c>
      <c r="F22" s="53" t="s">
        <v>42</v>
      </c>
      <c r="G22" s="240" t="s">
        <v>43</v>
      </c>
      <c r="H22" s="242"/>
      <c r="I22" s="242"/>
      <c r="J22" s="241"/>
      <c r="K22" s="243" t="s">
        <v>44</v>
      </c>
      <c r="L22" s="242" t="s">
        <v>45</v>
      </c>
      <c r="M22" s="242"/>
      <c r="N22" s="241"/>
      <c r="S22" s="232" t="s">
        <v>98</v>
      </c>
      <c r="T22" s="232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44"/>
      <c r="L23" s="53" t="s">
        <v>54</v>
      </c>
      <c r="M23" s="43" t="s">
        <v>55</v>
      </c>
      <c r="N23" s="57" t="s">
        <v>56</v>
      </c>
      <c r="S23" s="232"/>
      <c r="T23" s="232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33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34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34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34"/>
    </row>
    <row r="56" spans="1:14" ht="20.25" customHeight="1" thickBot="1">
      <c r="A56" s="299" t="s">
        <v>110</v>
      </c>
      <c r="B56" s="299"/>
      <c r="C56" s="299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8"/>
      <c r="N57" s="84" t="s">
        <v>61</v>
      </c>
    </row>
    <row r="58" spans="1:14" ht="15.75" thickBot="1">
      <c r="A58" s="148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6"/>
      <c r="N58" s="85">
        <f>MAX(N24:N50)</f>
        <v>0</v>
      </c>
    </row>
  </sheetData>
  <mergeCells count="22">
    <mergeCell ref="A2:N2"/>
    <mergeCell ref="A4:N4"/>
    <mergeCell ref="D6:E6"/>
    <mergeCell ref="F6:G6"/>
    <mergeCell ref="H6:J6"/>
    <mergeCell ref="K6:L6"/>
    <mergeCell ref="M6:N6"/>
    <mergeCell ref="D8:F8"/>
    <mergeCell ref="H13:J13"/>
    <mergeCell ref="H14:J14"/>
    <mergeCell ref="A22:B22"/>
    <mergeCell ref="A15:J16"/>
    <mergeCell ref="D10:F10"/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122</v>
      </c>
      <c r="N1" s="149"/>
    </row>
    <row r="2" spans="1:14" ht="18">
      <c r="A2" s="136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120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118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115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45"/>
      <c r="E6" s="247"/>
      <c r="F6" s="258" t="s">
        <v>92</v>
      </c>
      <c r="G6" s="259"/>
      <c r="H6" s="307"/>
      <c r="I6" s="308"/>
      <c r="J6" s="309"/>
      <c r="K6" s="263" t="s">
        <v>81</v>
      </c>
      <c r="L6" s="264"/>
      <c r="M6" s="265"/>
      <c r="N6" s="266"/>
      <c r="P6" s="140"/>
      <c r="R6" s="138" t="s">
        <v>117</v>
      </c>
      <c r="S6" s="138" t="s">
        <v>65</v>
      </c>
      <c r="U6" s="138" t="s">
        <v>116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45"/>
      <c r="E8" s="246"/>
      <c r="F8" s="247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48"/>
      <c r="E10" s="249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17" t="s">
        <v>119</v>
      </c>
      <c r="B13" s="318"/>
      <c r="C13" s="319"/>
      <c r="D13" s="160"/>
      <c r="E13" s="21"/>
      <c r="F13" s="28"/>
      <c r="G13" s="42" t="s">
        <v>32</v>
      </c>
      <c r="H13" s="250"/>
      <c r="I13" s="251"/>
      <c r="J13" s="312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20" t="str">
        <f>+IF(D13="NO","INDICAR kVA TRAFO:","")</f>
        <v/>
      </c>
      <c r="B14" s="321"/>
      <c r="C14" s="322"/>
      <c r="D14" s="185"/>
      <c r="E14" s="41"/>
      <c r="F14" s="28"/>
      <c r="G14" s="42" t="s">
        <v>35</v>
      </c>
      <c r="H14" s="252"/>
      <c r="I14" s="253"/>
      <c r="J14" s="313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4"/>
      <c r="B15" s="315"/>
      <c r="C15" s="315"/>
      <c r="D15" s="315"/>
      <c r="E15" s="315"/>
      <c r="F15" s="315"/>
      <c r="G15" s="315"/>
      <c r="H15" s="315"/>
      <c r="I15" s="315"/>
      <c r="J15" s="316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40" t="s">
        <v>38</v>
      </c>
      <c r="B21" s="241"/>
      <c r="C21" s="52" t="s">
        <v>39</v>
      </c>
      <c r="D21" s="52" t="s">
        <v>40</v>
      </c>
      <c r="E21" s="53" t="s">
        <v>41</v>
      </c>
      <c r="F21" s="53" t="s">
        <v>42</v>
      </c>
      <c r="G21" s="240" t="s">
        <v>43</v>
      </c>
      <c r="H21" s="242"/>
      <c r="I21" s="242"/>
      <c r="J21" s="241"/>
      <c r="K21" s="243" t="s">
        <v>44</v>
      </c>
      <c r="L21" s="242" t="s">
        <v>45</v>
      </c>
      <c r="M21" s="242"/>
      <c r="N21" s="241"/>
      <c r="S21" s="232" t="s">
        <v>98</v>
      </c>
      <c r="T21" s="232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44"/>
      <c r="L22" s="53" t="s">
        <v>54</v>
      </c>
      <c r="M22" s="43" t="s">
        <v>55</v>
      </c>
      <c r="N22" s="57" t="s">
        <v>56</v>
      </c>
      <c r="S22" s="232"/>
      <c r="T22" s="232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113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125</v>
      </c>
      <c r="L51" s="94">
        <f>ROUND((SUMIF(H22:H48,"6",T22:T50))*1.015,0)</f>
        <v>0</v>
      </c>
      <c r="M51" s="128"/>
      <c r="N51" s="310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124</v>
      </c>
      <c r="L52" s="94">
        <f>ROUND((SUMIF(H23:H49,"4",T23:T51))*1.015,0)</f>
        <v>0</v>
      </c>
      <c r="M52" s="92"/>
      <c r="N52" s="311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1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124</v>
      </c>
      <c r="L54" s="94">
        <f>ROUND((SUMIF(I23:I49,"4",S23:S51))*1.015,0)</f>
        <v>0</v>
      </c>
      <c r="M54" s="92"/>
      <c r="N54" s="311"/>
    </row>
    <row r="55" spans="1:14" ht="15.75" thickBot="1">
      <c r="A55" s="235" t="s">
        <v>123</v>
      </c>
      <c r="B55" s="235"/>
      <c r="C55" s="235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125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84" t="s">
        <v>61</v>
      </c>
    </row>
    <row r="57" spans="1:14" ht="15.75" thickBot="1">
      <c r="A57" s="14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85">
        <f>MAX(N23:N49)</f>
        <v>0</v>
      </c>
    </row>
  </sheetData>
  <mergeCells count="22">
    <mergeCell ref="M6:N6"/>
    <mergeCell ref="A55:C55"/>
    <mergeCell ref="D6:E6"/>
    <mergeCell ref="F6:G6"/>
    <mergeCell ref="H6:J6"/>
    <mergeCell ref="K6:L6"/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4" t="s">
        <v>11</v>
      </c>
      <c r="B1" s="325" t="s">
        <v>12</v>
      </c>
      <c r="C1" s="325"/>
      <c r="D1" s="326"/>
      <c r="E1" s="327" t="s">
        <v>13</v>
      </c>
      <c r="F1" s="328"/>
      <c r="G1" s="328"/>
      <c r="H1" s="329" t="s">
        <v>14</v>
      </c>
      <c r="I1" s="330"/>
      <c r="J1" s="330"/>
      <c r="K1" s="331" t="s">
        <v>15</v>
      </c>
      <c r="L1" s="332"/>
      <c r="M1" s="332"/>
    </row>
    <row r="2" spans="1:23" ht="45">
      <c r="A2" s="324"/>
      <c r="B2" s="333" t="s">
        <v>16</v>
      </c>
      <c r="C2" s="334"/>
      <c r="D2" s="335"/>
      <c r="E2" s="336" t="s">
        <v>17</v>
      </c>
      <c r="F2" s="337"/>
      <c r="G2" s="338"/>
      <c r="H2" s="339" t="s">
        <v>17</v>
      </c>
      <c r="I2" s="340"/>
      <c r="J2" s="341"/>
      <c r="K2" s="342" t="s">
        <v>17</v>
      </c>
      <c r="L2" s="343"/>
      <c r="M2" s="344"/>
      <c r="P2" s="323" t="s">
        <v>161</v>
      </c>
      <c r="Q2" s="323"/>
      <c r="R2" s="323"/>
      <c r="S2" s="323"/>
      <c r="U2" s="199" t="s">
        <v>158</v>
      </c>
      <c r="V2" s="204" t="s">
        <v>157</v>
      </c>
      <c r="W2" s="199" t="s">
        <v>159</v>
      </c>
    </row>
    <row r="3" spans="1:24" ht="45">
      <c r="A3" s="324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9" t="s">
        <v>11</v>
      </c>
      <c r="P3" t="s">
        <v>73</v>
      </c>
      <c r="Q3" t="s">
        <v>76</v>
      </c>
      <c r="R3" t="s">
        <v>74</v>
      </c>
      <c r="S3" t="s">
        <v>75</v>
      </c>
      <c r="T3" s="202" t="s">
        <v>156</v>
      </c>
      <c r="U3" s="203">
        <v>8.12</v>
      </c>
      <c r="V3" s="203">
        <v>7.64</v>
      </c>
      <c r="W3" s="203">
        <v>5.43</v>
      </c>
      <c r="X3" s="203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197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1">
        <f>+POWER(A4,0.91)</f>
        <v>1</v>
      </c>
      <c r="U4" s="201">
        <f aca="true" t="shared" si="0" ref="U4:U35">+T4*$U$3</f>
        <v>8.12</v>
      </c>
      <c r="V4" s="201">
        <f aca="true" t="shared" si="1" ref="V4:V35">+T4*$V$3</f>
        <v>7.64</v>
      </c>
      <c r="W4" s="201">
        <f aca="true" t="shared" si="2" ref="W4:W35">+T4*$W$3</f>
        <v>5.43</v>
      </c>
      <c r="X4" s="201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197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1">
        <f aca="true" t="shared" si="4" ref="T5:T68">+POWER(A5,0.91)</f>
        <v>1.8790454984280236</v>
      </c>
      <c r="U5" s="201">
        <f t="shared" si="0"/>
        <v>15.25784944723555</v>
      </c>
      <c r="V5" s="201">
        <f t="shared" si="1"/>
        <v>14.3559076079901</v>
      </c>
      <c r="W5" s="201">
        <f t="shared" si="2"/>
        <v>10.203217056464167</v>
      </c>
      <c r="X5" s="201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197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1">
        <f t="shared" si="4"/>
        <v>2.717567510807211</v>
      </c>
      <c r="U6" s="201">
        <f t="shared" si="0"/>
        <v>22.066648187754552</v>
      </c>
      <c r="V6" s="201">
        <f t="shared" si="1"/>
        <v>20.762215782567093</v>
      </c>
      <c r="W6" s="201">
        <f t="shared" si="2"/>
        <v>14.756391583683156</v>
      </c>
      <c r="X6" s="201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197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1">
        <f t="shared" si="4"/>
        <v>3.5308119851626194</v>
      </c>
      <c r="U7" s="201">
        <f t="shared" si="0"/>
        <v>28.670193319520468</v>
      </c>
      <c r="V7" s="201">
        <f t="shared" si="1"/>
        <v>26.97540356664241</v>
      </c>
      <c r="W7" s="201">
        <f t="shared" si="2"/>
        <v>19.172309079433024</v>
      </c>
      <c r="X7" s="201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1">
        <f t="shared" si="4"/>
        <v>4.325762823966206</v>
      </c>
      <c r="U8" s="201">
        <f t="shared" si="0"/>
        <v>35.125194130605585</v>
      </c>
      <c r="V8" s="201">
        <f t="shared" si="1"/>
        <v>33.04882797510181</v>
      </c>
      <c r="W8" s="201">
        <f t="shared" si="2"/>
        <v>23.488892134136496</v>
      </c>
      <c r="X8" s="201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1">
        <f t="shared" si="4"/>
        <v>5.106432997856539</v>
      </c>
      <c r="U9" s="201">
        <f t="shared" si="0"/>
        <v>41.46423594259509</v>
      </c>
      <c r="V9" s="201">
        <f t="shared" si="1"/>
        <v>39.013148103623955</v>
      </c>
      <c r="W9" s="201">
        <f t="shared" si="2"/>
        <v>27.727931178361004</v>
      </c>
      <c r="X9" s="201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1">
        <f t="shared" si="4"/>
        <v>5.875424047012153</v>
      </c>
      <c r="U10" s="201">
        <f t="shared" si="0"/>
        <v>47.70844326173868</v>
      </c>
      <c r="V10" s="201">
        <f t="shared" si="1"/>
        <v>44.888239719172844</v>
      </c>
      <c r="W10" s="201">
        <f t="shared" si="2"/>
        <v>31.903552575275988</v>
      </c>
      <c r="X10" s="201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1">
        <f t="shared" si="4"/>
        <v>6.634556366515533</v>
      </c>
      <c r="U11" s="201">
        <f t="shared" si="0"/>
        <v>53.872597696106126</v>
      </c>
      <c r="V11" s="201">
        <f t="shared" si="1"/>
        <v>50.688010640178675</v>
      </c>
      <c r="W11" s="201">
        <f t="shared" si="2"/>
        <v>36.02564107017935</v>
      </c>
      <c r="X11" s="201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1">
        <f t="shared" si="4"/>
        <v>7.3851731757949</v>
      </c>
      <c r="U12" s="201">
        <f t="shared" si="0"/>
        <v>59.967606187454585</v>
      </c>
      <c r="V12" s="201">
        <f t="shared" si="1"/>
        <v>56.422723063073036</v>
      </c>
      <c r="W12" s="201">
        <f t="shared" si="2"/>
        <v>40.10149034456631</v>
      </c>
      <c r="X12" s="201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1">
        <f t="shared" si="4"/>
        <v>8.128305161640993</v>
      </c>
      <c r="U13" s="201">
        <f t="shared" si="0"/>
        <v>66.00183791252486</v>
      </c>
      <c r="V13" s="201">
        <f t="shared" si="1"/>
        <v>62.100251434937185</v>
      </c>
      <c r="W13" s="201">
        <f t="shared" si="2"/>
        <v>44.13669702771059</v>
      </c>
      <c r="X13" s="201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1">
        <f t="shared" si="4"/>
        <v>8.86476737410808</v>
      </c>
      <c r="U14" s="201">
        <f t="shared" si="0"/>
        <v>71.9819110777576</v>
      </c>
      <c r="V14" s="201">
        <f t="shared" si="1"/>
        <v>67.72682273818573</v>
      </c>
      <c r="W14" s="201">
        <f t="shared" si="2"/>
        <v>48.13568684140687</v>
      </c>
      <c r="X14" s="201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1">
        <f t="shared" si="4"/>
        <v>9.595219937646645</v>
      </c>
      <c r="U15" s="201">
        <f t="shared" si="0"/>
        <v>77.91318589369075</v>
      </c>
      <c r="V15" s="201">
        <f t="shared" si="1"/>
        <v>73.30748032362037</v>
      </c>
      <c r="W15" s="201">
        <f t="shared" si="2"/>
        <v>52.10204426142128</v>
      </c>
      <c r="X15" s="201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1">
        <f t="shared" si="4"/>
        <v>10.320208004137706</v>
      </c>
      <c r="U16" s="201">
        <f t="shared" si="0"/>
        <v>83.80008899359817</v>
      </c>
      <c r="V16" s="201">
        <f t="shared" si="1"/>
        <v>78.84638915161207</v>
      </c>
      <c r="W16" s="201">
        <f t="shared" si="2"/>
        <v>56.03872946246774</v>
      </c>
      <c r="X16" s="201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1">
        <f t="shared" si="4"/>
        <v>11.040189106893946</v>
      </c>
      <c r="U17" s="201">
        <f t="shared" si="0"/>
        <v>89.64633554797884</v>
      </c>
      <c r="V17" s="201">
        <f t="shared" si="1"/>
        <v>84.34704477666975</v>
      </c>
      <c r="W17" s="201">
        <f t="shared" si="2"/>
        <v>59.948226850434125</v>
      </c>
      <c r="X17" s="201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1">
        <f t="shared" si="4"/>
        <v>11.75555250986821</v>
      </c>
      <c r="U18" s="201">
        <f t="shared" si="0"/>
        <v>95.45508638012986</v>
      </c>
      <c r="V18" s="201">
        <f t="shared" si="1"/>
        <v>89.81242117539311</v>
      </c>
      <c r="W18" s="201">
        <f t="shared" si="2"/>
        <v>63.832650128584376</v>
      </c>
      <c r="X18" s="201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1">
        <f t="shared" si="4"/>
        <v>12.466633274567998</v>
      </c>
      <c r="U19" s="201">
        <f t="shared" si="0"/>
        <v>101.22906218949214</v>
      </c>
      <c r="V19" s="201">
        <f t="shared" si="1"/>
        <v>95.2450782176995</v>
      </c>
      <c r="W19" s="201">
        <f t="shared" si="2"/>
        <v>67.69381868090423</v>
      </c>
      <c r="X19" s="201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1">
        <f t="shared" si="4"/>
        <v>13.173722728062264</v>
      </c>
      <c r="U20" s="201">
        <f t="shared" si="0"/>
        <v>106.97062855186557</v>
      </c>
      <c r="V20" s="201">
        <f t="shared" si="1"/>
        <v>100.6472416423957</v>
      </c>
      <c r="W20" s="201">
        <f t="shared" si="2"/>
        <v>71.5333144133781</v>
      </c>
      <c r="X20" s="201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1">
        <f t="shared" si="4"/>
        <v>13.87707641108879</v>
      </c>
      <c r="U21" s="201">
        <f t="shared" si="0"/>
        <v>112.68186045804097</v>
      </c>
      <c r="V21" s="201">
        <f t="shared" si="1"/>
        <v>106.02086378071836</v>
      </c>
      <c r="W21" s="201">
        <f t="shared" si="2"/>
        <v>75.35252491221213</v>
      </c>
      <c r="X21" s="201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1">
        <f t="shared" si="4"/>
        <v>14.576920219562425</v>
      </c>
      <c r="U22" s="201">
        <f t="shared" si="0"/>
        <v>118.36459218284688</v>
      </c>
      <c r="V22" s="201">
        <f t="shared" si="1"/>
        <v>111.36767047745693</v>
      </c>
      <c r="W22" s="201">
        <f t="shared" si="2"/>
        <v>79.15267679222396</v>
      </c>
      <c r="X22" s="201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1">
        <f t="shared" si="4"/>
        <v>15.273455223830776</v>
      </c>
      <c r="U23" s="201">
        <f t="shared" si="0"/>
        <v>124.0204564175059</v>
      </c>
      <c r="V23" s="201">
        <f t="shared" si="1"/>
        <v>116.68919791006712</v>
      </c>
      <c r="W23" s="201">
        <f t="shared" si="2"/>
        <v>82.93486186540112</v>
      </c>
      <c r="X23" s="201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1">
        <f t="shared" si="4"/>
        <v>15.966861502375647</v>
      </c>
      <c r="U24" s="201">
        <f t="shared" si="0"/>
        <v>129.65091539929023</v>
      </c>
      <c r="V24" s="201">
        <f t="shared" si="1"/>
        <v>121.98682187814994</v>
      </c>
      <c r="W24" s="201">
        <f t="shared" si="2"/>
        <v>86.70005795789976</v>
      </c>
      <c r="X24" s="201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1">
        <f t="shared" si="4"/>
        <v>16.657301228929406</v>
      </c>
      <c r="U25" s="201">
        <f t="shared" si="0"/>
        <v>135.25728597890676</v>
      </c>
      <c r="V25" s="201">
        <f t="shared" si="1"/>
        <v>127.26178138902065</v>
      </c>
      <c r="W25" s="201">
        <f t="shared" si="2"/>
        <v>90.44914567308666</v>
      </c>
      <c r="X25" s="201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1">
        <f t="shared" si="4"/>
        <v>17.344921185779352</v>
      </c>
      <c r="U26" s="201">
        <f t="shared" si="0"/>
        <v>140.84076002852834</v>
      </c>
      <c r="V26" s="201">
        <f t="shared" si="1"/>
        <v>132.51519785935423</v>
      </c>
      <c r="W26" s="201">
        <f t="shared" si="2"/>
        <v>94.18292203878188</v>
      </c>
      <c r="X26" s="201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1">
        <f t="shared" si="4"/>
        <v>18.029854830261755</v>
      </c>
      <c r="U27" s="201">
        <f t="shared" si="0"/>
        <v>146.40242122172543</v>
      </c>
      <c r="V27" s="201">
        <f t="shared" si="1"/>
        <v>137.7480909031998</v>
      </c>
      <c r="W27" s="201">
        <f t="shared" si="2"/>
        <v>97.90211172832133</v>
      </c>
      <c r="X27" s="201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1">
        <f t="shared" si="4"/>
        <v>18.71222400920808</v>
      </c>
      <c r="U28" s="201">
        <f t="shared" si="0"/>
        <v>151.9432589547696</v>
      </c>
      <c r="V28" s="201">
        <f t="shared" si="1"/>
        <v>142.96139143034972</v>
      </c>
      <c r="W28" s="201">
        <f t="shared" si="2"/>
        <v>101.60737636999986</v>
      </c>
      <c r="X28" s="201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1">
        <f t="shared" si="4"/>
        <v>19.39214039301581</v>
      </c>
      <c r="U29" s="201">
        <f t="shared" si="0"/>
        <v>157.46417999128838</v>
      </c>
      <c r="V29" s="201">
        <f t="shared" si="1"/>
        <v>148.15595260264078</v>
      </c>
      <c r="W29" s="201">
        <f t="shared" si="2"/>
        <v>105.29932233407585</v>
      </c>
      <c r="X29" s="201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1">
        <f t="shared" si="4"/>
        <v>20.069706684225125</v>
      </c>
      <c r="U30" s="201">
        <f t="shared" si="0"/>
        <v>162.966018275908</v>
      </c>
      <c r="V30" s="201">
        <f t="shared" si="1"/>
        <v>153.33255906747993</v>
      </c>
      <c r="W30" s="201">
        <f t="shared" si="2"/>
        <v>108.97850729534242</v>
      </c>
      <c r="X30" s="201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1">
        <f t="shared" si="4"/>
        <v>20.745017643103168</v>
      </c>
      <c r="U31" s="201">
        <f t="shared" si="0"/>
        <v>168.44954326199772</v>
      </c>
      <c r="V31" s="201">
        <f t="shared" si="1"/>
        <v>158.4919347933082</v>
      </c>
      <c r="W31" s="201">
        <f t="shared" si="2"/>
        <v>112.64544580205019</v>
      </c>
      <c r="X31" s="201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1">
        <f t="shared" si="4"/>
        <v>21.418160963493182</v>
      </c>
      <c r="U32" s="201">
        <f t="shared" si="0"/>
        <v>173.91546702356462</v>
      </c>
      <c r="V32" s="201">
        <f t="shared" si="1"/>
        <v>163.6347497610879</v>
      </c>
      <c r="W32" s="201">
        <f t="shared" si="2"/>
        <v>116.30061403176798</v>
      </c>
      <c r="X32" s="201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1">
        <f t="shared" si="4"/>
        <v>22.089218025202122</v>
      </c>
      <c r="U33" s="201">
        <f t="shared" si="0"/>
        <v>179.36445036464121</v>
      </c>
      <c r="V33" s="201">
        <f t="shared" si="1"/>
        <v>168.7616257125442</v>
      </c>
      <c r="W33" s="201">
        <f t="shared" si="2"/>
        <v>119.94445387684752</v>
      </c>
      <c r="X33" s="201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1">
        <f t="shared" si="4"/>
        <v>22.758264543867377</v>
      </c>
      <c r="U34" s="201">
        <f t="shared" si="0"/>
        <v>184.7971080962031</v>
      </c>
      <c r="V34" s="201">
        <f t="shared" si="1"/>
        <v>173.87314111514675</v>
      </c>
      <c r="W34" s="201">
        <f t="shared" si="2"/>
        <v>123.57737647319985</v>
      </c>
      <c r="X34" s="201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1">
        <f t="shared" si="4"/>
        <v>23.425371135130007</v>
      </c>
      <c r="U35" s="201">
        <f t="shared" si="0"/>
        <v>190.21401361725563</v>
      </c>
      <c r="V35" s="201">
        <f t="shared" si="1"/>
        <v>178.96983547239324</v>
      </c>
      <c r="W35" s="201">
        <f t="shared" si="2"/>
        <v>127.19976526375594</v>
      </c>
      <c r="X35" s="201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1">
        <f t="shared" si="4"/>
        <v>24.090603806739875</v>
      </c>
      <c r="U36" s="201">
        <f aca="true" t="shared" si="5" ref="U36:U67">+T36*$U$3</f>
        <v>195.61570291072778</v>
      </c>
      <c r="V36" s="201">
        <f aca="true" t="shared" si="6" ref="V36:V67">+T36*$V$3</f>
        <v>184.05221308349263</v>
      </c>
      <c r="W36" s="201">
        <f aca="true" t="shared" si="7" ref="W36:W67">+T36*$W$3</f>
        <v>130.8119786705975</v>
      </c>
      <c r="X36" s="201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1">
        <f t="shared" si="4"/>
        <v>24.754024389704348</v>
      </c>
      <c r="U37" s="201">
        <f t="shared" si="5"/>
        <v>201.0026780443993</v>
      </c>
      <c r="V37" s="201">
        <f t="shared" si="6"/>
        <v>189.12074633734122</v>
      </c>
      <c r="W37" s="201">
        <f t="shared" si="7"/>
        <v>134.41435243609462</v>
      </c>
      <c r="X37" s="201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1">
        <f t="shared" si="4"/>
        <v>25.415690917602237</v>
      </c>
      <c r="U38" s="201">
        <f t="shared" si="5"/>
        <v>206.37541025093014</v>
      </c>
      <c r="V38" s="201">
        <f t="shared" si="6"/>
        <v>194.17587861048108</v>
      </c>
      <c r="W38" s="201">
        <f t="shared" si="7"/>
        <v>138.00720168258013</v>
      </c>
      <c r="X38" s="201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1">
        <f t="shared" si="4"/>
        <v>26.075657961598115</v>
      </c>
      <c r="U39" s="201">
        <f t="shared" si="5"/>
        <v>211.73434264817666</v>
      </c>
      <c r="V39" s="201">
        <f t="shared" si="6"/>
        <v>199.2180268266096</v>
      </c>
      <c r="W39" s="201">
        <f t="shared" si="7"/>
        <v>141.59082273147774</v>
      </c>
      <c r="X39" s="201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1">
        <f t="shared" si="4"/>
        <v>26.7339769274174</v>
      </c>
      <c r="U40" s="201">
        <f t="shared" si="5"/>
        <v>217.0798926506293</v>
      </c>
      <c r="V40" s="201">
        <f t="shared" si="6"/>
        <v>204.24758372546893</v>
      </c>
      <c r="W40" s="201">
        <f t="shared" si="7"/>
        <v>145.1654947158765</v>
      </c>
      <c r="X40" s="201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1">
        <f t="shared" si="4"/>
        <v>27.39069631951321</v>
      </c>
      <c r="U41" s="201">
        <f t="shared" si="5"/>
        <v>222.41245411444726</v>
      </c>
      <c r="V41" s="201">
        <f t="shared" si="6"/>
        <v>209.2649198810809</v>
      </c>
      <c r="W41" s="201">
        <f t="shared" si="7"/>
        <v>148.73148101495673</v>
      </c>
      <c r="X41" s="201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1">
        <f t="shared" si="4"/>
        <v>28.045861976817147</v>
      </c>
      <c r="U42" s="201">
        <f t="shared" si="5"/>
        <v>227.7323992517552</v>
      </c>
      <c r="V42" s="201">
        <f t="shared" si="6"/>
        <v>214.270385502883</v>
      </c>
      <c r="W42" s="201">
        <f t="shared" si="7"/>
        <v>152.2890305341171</v>
      </c>
      <c r="X42" s="201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1">
        <f t="shared" si="4"/>
        <v>28.699517283781198</v>
      </c>
      <c r="U43" s="201">
        <f t="shared" si="5"/>
        <v>233.0400803443033</v>
      </c>
      <c r="V43" s="201">
        <f t="shared" si="6"/>
        <v>219.26431204808833</v>
      </c>
      <c r="W43" s="201">
        <f t="shared" si="7"/>
        <v>155.8383788509319</v>
      </c>
      <c r="X43" s="201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1">
        <f t="shared" si="4"/>
        <v>29.351703359853296</v>
      </c>
      <c r="U44" s="201">
        <f t="shared" si="5"/>
        <v>238.33583128200874</v>
      </c>
      <c r="V44" s="201">
        <f t="shared" si="6"/>
        <v>224.24701366927917</v>
      </c>
      <c r="W44" s="201">
        <f t="shared" si="7"/>
        <v>159.3797492440034</v>
      </c>
      <c r="X44" s="201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1">
        <f t="shared" si="4"/>
        <v>30.002459230062666</v>
      </c>
      <c r="U45" s="201">
        <f t="shared" si="5"/>
        <v>243.61996894810883</v>
      </c>
      <c r="V45" s="201">
        <f t="shared" si="6"/>
        <v>229.21878851767875</v>
      </c>
      <c r="W45" s="201">
        <f t="shared" si="7"/>
        <v>162.91335361924027</v>
      </c>
      <c r="X45" s="201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1">
        <f t="shared" si="4"/>
        <v>30.65182197900327</v>
      </c>
      <c r="U46" s="201">
        <f t="shared" si="5"/>
        <v>248.89279446950653</v>
      </c>
      <c r="V46" s="201">
        <f t="shared" si="6"/>
        <v>234.17991991958496</v>
      </c>
      <c r="W46" s="201">
        <f t="shared" si="7"/>
        <v>166.43939334598775</v>
      </c>
      <c r="X46" s="201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1">
        <f t="shared" si="4"/>
        <v>31.299826890179368</v>
      </c>
      <c r="U47" s="201">
        <f t="shared" si="5"/>
        <v>254.15459434825644</v>
      </c>
      <c r="V47" s="201">
        <f t="shared" si="6"/>
        <v>239.13067744097037</v>
      </c>
      <c r="W47" s="201">
        <f t="shared" si="7"/>
        <v>169.95806001367396</v>
      </c>
      <c r="X47" s="201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1">
        <f t="shared" si="4"/>
        <v>31.946507572406013</v>
      </c>
      <c r="U48" s="201">
        <f t="shared" si="5"/>
        <v>259.4056414879368</v>
      </c>
      <c r="V48" s="201">
        <f t="shared" si="6"/>
        <v>244.07131785318194</v>
      </c>
      <c r="W48" s="201">
        <f t="shared" si="7"/>
        <v>173.46953611816463</v>
      </c>
      <c r="X48" s="201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1">
        <f t="shared" si="4"/>
        <v>32.59189607472756</v>
      </c>
      <c r="U49" s="201">
        <f t="shared" si="5"/>
        <v>264.64619612678774</v>
      </c>
      <c r="V49" s="201">
        <f t="shared" si="6"/>
        <v>249.00208601091853</v>
      </c>
      <c r="W49" s="201">
        <f t="shared" si="7"/>
        <v>176.97399568577063</v>
      </c>
      <c r="X49" s="201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1">
        <f t="shared" si="4"/>
        <v>33.236022991124564</v>
      </c>
      <c r="U50" s="201">
        <f t="shared" si="5"/>
        <v>269.87650668793145</v>
      </c>
      <c r="V50" s="201">
        <f t="shared" si="6"/>
        <v>253.92321565219166</v>
      </c>
      <c r="W50" s="201">
        <f t="shared" si="7"/>
        <v>180.47160484180637</v>
      </c>
      <c r="X50" s="201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1">
        <f t="shared" si="4"/>
        <v>33.878917556114104</v>
      </c>
      <c r="U51" s="201">
        <f t="shared" si="5"/>
        <v>275.09681055564647</v>
      </c>
      <c r="V51" s="201">
        <f t="shared" si="6"/>
        <v>258.83493012871173</v>
      </c>
      <c r="W51" s="201">
        <f t="shared" si="7"/>
        <v>183.96252232969957</v>
      </c>
      <c r="X51" s="201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1">
        <f t="shared" si="4"/>
        <v>34.52060773220867</v>
      </c>
      <c r="U52" s="201">
        <f t="shared" si="5"/>
        <v>280.30733478553435</v>
      </c>
      <c r="V52" s="201">
        <f t="shared" si="6"/>
        <v>263.7374430740742</v>
      </c>
      <c r="W52" s="201">
        <f t="shared" si="7"/>
        <v>187.44689998589305</v>
      </c>
      <c r="X52" s="201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1">
        <f t="shared" si="4"/>
        <v>35.16112029007922</v>
      </c>
      <c r="U53" s="201">
        <f t="shared" si="5"/>
        <v>285.5082967554432</v>
      </c>
      <c r="V53" s="201">
        <f t="shared" si="6"/>
        <v>268.6309590162052</v>
      </c>
      <c r="W53" s="201">
        <f t="shared" si="7"/>
        <v>190.92488317513013</v>
      </c>
      <c r="X53" s="201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1">
        <f t="shared" si="4"/>
        <v>35.80048088216455</v>
      </c>
      <c r="U54" s="201">
        <f t="shared" si="5"/>
        <v>290.6999047631761</v>
      </c>
      <c r="V54" s="201">
        <f t="shared" si="6"/>
        <v>273.51567393973716</v>
      </c>
      <c r="W54" s="201">
        <f t="shared" si="7"/>
        <v>194.3966111901535</v>
      </c>
      <c r="X54" s="201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1">
        <f t="shared" si="4"/>
        <v>36.4387141103806</v>
      </c>
      <c r="U55" s="201">
        <f t="shared" si="5"/>
        <v>295.88235857629047</v>
      </c>
      <c r="V55" s="201">
        <f t="shared" si="6"/>
        <v>278.3917758033078</v>
      </c>
      <c r="W55" s="201">
        <f t="shared" si="7"/>
        <v>197.86221761936665</v>
      </c>
      <c r="X55" s="201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1">
        <f t="shared" si="4"/>
        <v>37.07584358850742</v>
      </c>
      <c r="U56" s="201">
        <f t="shared" si="5"/>
        <v>301.0558499386802</v>
      </c>
      <c r="V56" s="201">
        <f t="shared" si="6"/>
        <v>283.25944501619665</v>
      </c>
      <c r="W56" s="201">
        <f t="shared" si="7"/>
        <v>201.32183068559527</v>
      </c>
      <c r="X56" s="201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1">
        <f t="shared" si="4"/>
        <v>37.71189199976405</v>
      </c>
      <c r="U57" s="201">
        <f t="shared" si="5"/>
        <v>306.22056303808404</v>
      </c>
      <c r="V57" s="201">
        <f t="shared" si="6"/>
        <v>288.11885487819734</v>
      </c>
      <c r="W57" s="201">
        <f t="shared" si="7"/>
        <v>204.77557355871878</v>
      </c>
      <c r="X57" s="201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1">
        <f t="shared" si="4"/>
        <v>38.34688115002526</v>
      </c>
      <c r="U58" s="201">
        <f t="shared" si="5"/>
        <v>311.3766749382051</v>
      </c>
      <c r="V58" s="201">
        <f t="shared" si="6"/>
        <v>292.970171986193</v>
      </c>
      <c r="W58" s="201">
        <f t="shared" si="7"/>
        <v>208.22356464463715</v>
      </c>
      <c r="X58" s="201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1">
        <f t="shared" si="4"/>
        <v>38.98083201708297</v>
      </c>
      <c r="U59" s="201">
        <f t="shared" si="5"/>
        <v>316.5243559787137</v>
      </c>
      <c r="V59" s="201">
        <f t="shared" si="6"/>
        <v>297.81355661051384</v>
      </c>
      <c r="W59" s="201">
        <f t="shared" si="7"/>
        <v>211.66591785276051</v>
      </c>
      <c r="X59" s="201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1">
        <f t="shared" si="4"/>
        <v>39.613764796311564</v>
      </c>
      <c r="U60" s="201">
        <f t="shared" si="5"/>
        <v>321.66377014604984</v>
      </c>
      <c r="V60" s="201">
        <f t="shared" si="6"/>
        <v>302.64916304382035</v>
      </c>
      <c r="W60" s="201">
        <f t="shared" si="7"/>
        <v>215.10274284397178</v>
      </c>
      <c r="X60" s="201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1">
        <f t="shared" si="4"/>
        <v>40.24569894305868</v>
      </c>
      <c r="U61" s="201">
        <f t="shared" si="5"/>
        <v>326.79507541763644</v>
      </c>
      <c r="V61" s="201">
        <f t="shared" si="6"/>
        <v>307.4771399249683</v>
      </c>
      <c r="W61" s="201">
        <f t="shared" si="7"/>
        <v>218.5341452608086</v>
      </c>
      <c r="X61" s="201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1">
        <f t="shared" si="4"/>
        <v>40.87665321204783</v>
      </c>
      <c r="U62" s="201">
        <f t="shared" si="5"/>
        <v>331.91842408182833</v>
      </c>
      <c r="V62" s="201">
        <f t="shared" si="6"/>
        <v>312.29763054004536</v>
      </c>
      <c r="W62" s="201">
        <f t="shared" si="7"/>
        <v>221.9602269414197</v>
      </c>
      <c r="X62" s="201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1">
        <f t="shared" si="4"/>
        <v>41.50664569405118</v>
      </c>
      <c r="U63" s="201">
        <f t="shared" si="5"/>
        <v>337.03396303569554</v>
      </c>
      <c r="V63" s="201">
        <f t="shared" si="6"/>
        <v>317.110773102551</v>
      </c>
      <c r="W63" s="201">
        <f t="shared" si="7"/>
        <v>225.3810861186979</v>
      </c>
      <c r="X63" s="201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1">
        <f t="shared" si="4"/>
        <v>42.13569385006394</v>
      </c>
      <c r="U64" s="201">
        <f t="shared" si="5"/>
        <v>342.14183406251914</v>
      </c>
      <c r="V64" s="201">
        <f t="shared" si="6"/>
        <v>321.91670101448847</v>
      </c>
      <c r="W64" s="201">
        <f t="shared" si="7"/>
        <v>228.79681760584717</v>
      </c>
      <c r="X64" s="201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1">
        <f t="shared" si="4"/>
        <v>42.763814543188104</v>
      </c>
      <c r="U65" s="201">
        <f t="shared" si="5"/>
        <v>347.2421740906874</v>
      </c>
      <c r="V65" s="201">
        <f t="shared" si="6"/>
        <v>326.7155431099571</v>
      </c>
      <c r="W65" s="201">
        <f t="shared" si="7"/>
        <v>232.20751296951138</v>
      </c>
      <c r="X65" s="201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1">
        <f t="shared" si="4"/>
        <v>43.39102406841445</v>
      </c>
      <c r="U66" s="201">
        <f t="shared" si="5"/>
        <v>352.3351154355253</v>
      </c>
      <c r="V66" s="201">
        <f t="shared" si="6"/>
        <v>331.5074238826864</v>
      </c>
      <c r="W66" s="201">
        <f t="shared" si="7"/>
        <v>235.61326069149047</v>
      </c>
      <c r="X66" s="201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1">
        <f t="shared" si="4"/>
        <v>44.017338180471796</v>
      </c>
      <c r="U67" s="201">
        <f t="shared" si="5"/>
        <v>357.42078602543097</v>
      </c>
      <c r="V67" s="201">
        <f t="shared" si="6"/>
        <v>336.2924636988045</v>
      </c>
      <c r="W67" s="201">
        <f t="shared" si="7"/>
        <v>239.01414631996184</v>
      </c>
      <c r="X67" s="201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1">
        <f t="shared" si="4"/>
        <v>44.64277211989733</v>
      </c>
      <c r="U68" s="201">
        <f aca="true" t="shared" si="9" ref="U68:U99">+T68*$U$3</f>
        <v>362.4993096135663</v>
      </c>
      <c r="V68" s="201">
        <f aca="true" t="shared" si="10" ref="V68:V99">+T68*$V$3</f>
        <v>341.0707789960156</v>
      </c>
      <c r="W68" s="201">
        <f aca="true" t="shared" si="11" ref="W68:W99">+T68*$W$3</f>
        <v>242.4102526110425</v>
      </c>
      <c r="X68" s="201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1">
        <f aca="true" t="shared" si="13" ref="T69:T108">+POWER(A69,0.91)</f>
        <v>45.26734063746754</v>
      </c>
      <c r="U69" s="201">
        <f t="shared" si="9"/>
        <v>367.5708059762364</v>
      </c>
      <c r="V69" s="201">
        <f t="shared" si="10"/>
        <v>345.842482470252</v>
      </c>
      <c r="W69" s="201">
        <f t="shared" si="11"/>
        <v>245.80165966144872</v>
      </c>
      <c r="X69" s="201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1">
        <f t="shared" si="13"/>
        <v>45.89105801711577</v>
      </c>
      <c r="U70" s="201">
        <f t="shared" si="9"/>
        <v>372.63539109898</v>
      </c>
      <c r="V70" s="201">
        <f t="shared" si="10"/>
        <v>350.60768325076447</v>
      </c>
      <c r="W70" s="201">
        <f t="shared" si="11"/>
        <v>249.1884450329386</v>
      </c>
      <c r="X70" s="201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1">
        <f t="shared" si="13"/>
        <v>46.51393809745145</v>
      </c>
      <c r="U71" s="201">
        <f t="shared" si="9"/>
        <v>377.69317735130574</v>
      </c>
      <c r="V71" s="201">
        <f t="shared" si="10"/>
        <v>355.36648706452905</v>
      </c>
      <c r="W71" s="201">
        <f t="shared" si="11"/>
        <v>252.57068386916137</v>
      </c>
      <c r="X71" s="201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1">
        <f t="shared" si="13"/>
        <v>47.135994291985675</v>
      </c>
      <c r="U72" s="201">
        <f t="shared" si="9"/>
        <v>382.7442736509236</v>
      </c>
      <c r="V72" s="201">
        <f t="shared" si="10"/>
        <v>360.1189963907705</v>
      </c>
      <c r="W72" s="201">
        <f t="shared" si="11"/>
        <v>255.9484490054822</v>
      </c>
      <c r="X72" s="201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1">
        <f t="shared" si="13"/>
        <v>47.7572396081585</v>
      </c>
      <c r="U73" s="201">
        <f t="shared" si="9"/>
        <v>387.788785618247</v>
      </c>
      <c r="V73" s="201">
        <f t="shared" si="10"/>
        <v>364.8653106063309</v>
      </c>
      <c r="W73" s="201">
        <f t="shared" si="11"/>
        <v>259.32181107230065</v>
      </c>
      <c r="X73" s="201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1">
        <f t="shared" si="13"/>
        <v>48.37768666525503</v>
      </c>
      <c r="U74" s="201">
        <f t="shared" si="9"/>
        <v>392.8268157218708</v>
      </c>
      <c r="V74" s="201">
        <f t="shared" si="10"/>
        <v>369.6055261225484</v>
      </c>
      <c r="W74" s="201">
        <f t="shared" si="11"/>
        <v>262.6908385923348</v>
      </c>
      <c r="X74" s="201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1">
        <f t="shared" si="13"/>
        <v>48.997347711289784</v>
      </c>
      <c r="U75" s="201">
        <f t="shared" si="9"/>
        <v>397.858463415673</v>
      </c>
      <c r="V75" s="201">
        <f t="shared" si="10"/>
        <v>374.33973651425396</v>
      </c>
      <c r="W75" s="201">
        <f t="shared" si="11"/>
        <v>266.0555980723035</v>
      </c>
      <c r="X75" s="201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1">
        <f t="shared" si="13"/>
        <v>49.61623463893257</v>
      </c>
      <c r="U76" s="201">
        <f t="shared" si="9"/>
        <v>402.8838252681324</v>
      </c>
      <c r="V76" s="201">
        <f t="shared" si="10"/>
        <v>379.0680326414448</v>
      </c>
      <c r="W76" s="201">
        <f t="shared" si="11"/>
        <v>269.41615408940385</v>
      </c>
      <c r="X76" s="201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1">
        <f t="shared" si="13"/>
        <v>50.234359000542355</v>
      </c>
      <c r="U77" s="201">
        <f t="shared" si="9"/>
        <v>407.90299508440387</v>
      </c>
      <c r="V77" s="201">
        <f t="shared" si="10"/>
        <v>383.7905027641436</v>
      </c>
      <c r="W77" s="201">
        <f t="shared" si="11"/>
        <v>272.772569372945</v>
      </c>
      <c r="X77" s="201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1">
        <f t="shared" si="13"/>
        <v>50.851732022370506</v>
      </c>
      <c r="U78" s="201">
        <f t="shared" si="9"/>
        <v>412.9160640216485</v>
      </c>
      <c r="V78" s="201">
        <f t="shared" si="10"/>
        <v>388.5072326509106</v>
      </c>
      <c r="W78" s="201">
        <f t="shared" si="11"/>
        <v>276.1249048814718</v>
      </c>
      <c r="X78" s="201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1">
        <f t="shared" si="13"/>
        <v>51.468364617990346</v>
      </c>
      <c r="U79" s="201">
        <f t="shared" si="9"/>
        <v>417.92312069808156</v>
      </c>
      <c r="V79" s="201">
        <f t="shared" si="10"/>
        <v>393.2183056814462</v>
      </c>
      <c r="W79" s="201">
        <f t="shared" si="11"/>
        <v>279.47321987568756</v>
      </c>
      <c r="X79" s="201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1">
        <f t="shared" si="13"/>
        <v>52.08426740100342</v>
      </c>
      <c r="U80" s="201">
        <f t="shared" si="9"/>
        <v>422.92425129614776</v>
      </c>
      <c r="V80" s="201">
        <f t="shared" si="10"/>
        <v>397.92380294366615</v>
      </c>
      <c r="W80" s="201">
        <f t="shared" si="11"/>
        <v>282.81757198744856</v>
      </c>
      <c r="X80" s="201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1">
        <f t="shared" si="13"/>
        <v>52.699450697071924</v>
      </c>
      <c r="U81" s="201">
        <f t="shared" si="9"/>
        <v>427.91953966022396</v>
      </c>
      <c r="V81" s="201">
        <f t="shared" si="10"/>
        <v>402.62380332562947</v>
      </c>
      <c r="W81" s="201">
        <f t="shared" si="11"/>
        <v>286.1580172851005</v>
      </c>
      <c r="X81" s="201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1">
        <f t="shared" si="13"/>
        <v>53.31392455532028</v>
      </c>
      <c r="U82" s="201">
        <f t="shared" si="9"/>
        <v>432.90906738920063</v>
      </c>
      <c r="V82" s="201">
        <f t="shared" si="10"/>
        <v>407.3183836026469</v>
      </c>
      <c r="W82" s="201">
        <f t="shared" si="11"/>
        <v>289.4946103353891</v>
      </c>
      <c r="X82" s="201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1">
        <f t="shared" si="13"/>
        <v>53.92769875914632</v>
      </c>
      <c r="U83" s="201">
        <f t="shared" si="9"/>
        <v>437.89291392426804</v>
      </c>
      <c r="V83" s="201">
        <f t="shared" si="10"/>
        <v>412.00761851987784</v>
      </c>
      <c r="W83" s="201">
        <f t="shared" si="11"/>
        <v>292.82740426216446</v>
      </c>
      <c r="X83" s="201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1">
        <f t="shared" si="13"/>
        <v>54.54078283648054</v>
      </c>
      <c r="U84" s="201">
        <f t="shared" si="9"/>
        <v>442.8711566322219</v>
      </c>
      <c r="V84" s="201">
        <f t="shared" si="10"/>
        <v>416.6915808707113</v>
      </c>
      <c r="W84" s="201">
        <f t="shared" si="11"/>
        <v>296.1564508020893</v>
      </c>
      <c r="X84" s="201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1">
        <f t="shared" si="13"/>
        <v>55.153186069527024</v>
      </c>
      <c r="U85" s="201">
        <f t="shared" si="9"/>
        <v>447.8438708845594</v>
      </c>
      <c r="V85" s="201">
        <f t="shared" si="10"/>
        <v>421.37034157118643</v>
      </c>
      <c r="W85" s="201">
        <f t="shared" si="11"/>
        <v>299.4818003575317</v>
      </c>
      <c r="X85" s="201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1">
        <f t="shared" si="13"/>
        <v>55.7649175040193</v>
      </c>
      <c r="U86" s="201">
        <f t="shared" si="9"/>
        <v>452.81113013263666</v>
      </c>
      <c r="V86" s="201">
        <f t="shared" si="10"/>
        <v>426.04396973070743</v>
      </c>
      <c r="W86" s="201">
        <f t="shared" si="11"/>
        <v>302.8035020468248</v>
      </c>
      <c r="X86" s="201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1">
        <f t="shared" si="13"/>
        <v>56.37598595801953</v>
      </c>
      <c r="U87" s="201">
        <f t="shared" si="9"/>
        <v>457.7730059791185</v>
      </c>
      <c r="V87" s="201">
        <f t="shared" si="10"/>
        <v>430.7125327192692</v>
      </c>
      <c r="W87" s="201">
        <f t="shared" si="11"/>
        <v>306.12160375204604</v>
      </c>
      <c r="X87" s="201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1">
        <f t="shared" si="13"/>
        <v>56.98640003029041</v>
      </c>
      <c r="U88" s="201">
        <f t="shared" si="9"/>
        <v>462.7295682459581</v>
      </c>
      <c r="V88" s="201">
        <f t="shared" si="10"/>
        <v>435.3760962314187</v>
      </c>
      <c r="W88" s="201">
        <f t="shared" si="11"/>
        <v>309.43615216447694</v>
      </c>
      <c r="X88" s="201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1">
        <f t="shared" si="13"/>
        <v>57.59616810826324</v>
      </c>
      <c r="U89" s="201">
        <f t="shared" si="9"/>
        <v>467.68088503909746</v>
      </c>
      <c r="V89" s="201">
        <f t="shared" si="10"/>
        <v>440.03472434713115</v>
      </c>
      <c r="W89" s="201">
        <f t="shared" si="11"/>
        <v>312.7471928278694</v>
      </c>
      <c r="X89" s="201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1">
        <f t="shared" si="13"/>
        <v>58.20529837562834</v>
      </c>
      <c r="U90" s="201">
        <f t="shared" si="9"/>
        <v>472.62702281010206</v>
      </c>
      <c r="V90" s="201">
        <f t="shared" si="10"/>
        <v>444.68847958980047</v>
      </c>
      <c r="W90" s="201">
        <f t="shared" si="11"/>
        <v>316.0547701796619</v>
      </c>
      <c r="X90" s="201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1">
        <f t="shared" si="13"/>
        <v>58.813798819567964</v>
      </c>
      <c r="U91" s="201">
        <f t="shared" si="9"/>
        <v>477.5680464148918</v>
      </c>
      <c r="V91" s="201">
        <f t="shared" si="10"/>
        <v>449.33742298149923</v>
      </c>
      <c r="W91" s="201">
        <f t="shared" si="11"/>
        <v>319.35892759025404</v>
      </c>
      <c r="X91" s="201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1">
        <f t="shared" si="13"/>
        <v>59.421677237653576</v>
      </c>
      <c r="U92" s="201">
        <f t="shared" si="9"/>
        <v>482.504019169747</v>
      </c>
      <c r="V92" s="201">
        <f t="shared" si="10"/>
        <v>453.9816140956733</v>
      </c>
      <c r="W92" s="201">
        <f t="shared" si="11"/>
        <v>322.6597074004589</v>
      </c>
      <c r="X92" s="201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1">
        <f t="shared" si="13"/>
        <v>60.0289412444263</v>
      </c>
      <c r="U93" s="201">
        <f t="shared" si="9"/>
        <v>487.4350029047415</v>
      </c>
      <c r="V93" s="201">
        <f t="shared" si="10"/>
        <v>458.6211111074169</v>
      </c>
      <c r="W93" s="201">
        <f t="shared" si="11"/>
        <v>325.9571509572348</v>
      </c>
      <c r="X93" s="201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1">
        <f t="shared" si="13"/>
        <v>60.63559827767792</v>
      </c>
      <c r="U94" s="201">
        <f t="shared" si="9"/>
        <v>492.3610580147447</v>
      </c>
      <c r="V94" s="201">
        <f t="shared" si="10"/>
        <v>463.2559708414593</v>
      </c>
      <c r="W94" s="201">
        <f t="shared" si="11"/>
        <v>329.2512986477911</v>
      </c>
      <c r="X94" s="201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1">
        <f t="shared" si="13"/>
        <v>61.241655604450784</v>
      </c>
      <c r="U95" s="201">
        <f t="shared" si="9"/>
        <v>497.2822435081403</v>
      </c>
      <c r="V95" s="201">
        <f t="shared" si="10"/>
        <v>467.886248818004</v>
      </c>
      <c r="W95" s="201">
        <f t="shared" si="11"/>
        <v>332.54218993216773</v>
      </c>
      <c r="X95" s="201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1">
        <f t="shared" si="13"/>
        <v>61.84712032676967</v>
      </c>
      <c r="U96" s="201">
        <f t="shared" si="9"/>
        <v>502.1986170533697</v>
      </c>
      <c r="V96" s="201">
        <f t="shared" si="10"/>
        <v>472.51199929652023</v>
      </c>
      <c r="W96" s="201">
        <f t="shared" si="11"/>
        <v>335.82986337435926</v>
      </c>
      <c r="X96" s="201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1">
        <f t="shared" si="13"/>
        <v>62.4519993871229</v>
      </c>
      <c r="U97" s="201">
        <f t="shared" si="9"/>
        <v>507.11023502343795</v>
      </c>
      <c r="V97" s="201">
        <f t="shared" si="10"/>
        <v>477.13327531761894</v>
      </c>
      <c r="W97" s="201">
        <f t="shared" si="11"/>
        <v>339.11435667207735</v>
      </c>
      <c r="X97" s="201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1">
        <f t="shared" si="13"/>
        <v>63.05629957370445</v>
      </c>
      <c r="U98" s="201">
        <f t="shared" si="9"/>
        <v>512.0171525384801</v>
      </c>
      <c r="V98" s="201">
        <f t="shared" si="10"/>
        <v>481.750128743102</v>
      </c>
      <c r="W98" s="201">
        <f t="shared" si="11"/>
        <v>342.39570668521515</v>
      </c>
      <c r="X98" s="201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1">
        <f t="shared" si="13"/>
        <v>63.66002752543034</v>
      </c>
      <c r="U99" s="201">
        <f t="shared" si="9"/>
        <v>516.9194235064942</v>
      </c>
      <c r="V99" s="201">
        <f t="shared" si="10"/>
        <v>486.3626102942878</v>
      </c>
      <c r="W99" s="201">
        <f t="shared" si="11"/>
        <v>345.67394946308673</v>
      </c>
      <c r="X99" s="201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1">
        <f t="shared" si="13"/>
        <v>64.26318973674194</v>
      </c>
      <c r="U100" s="201">
        <f aca="true" t="shared" si="14" ref="U100:U108">+T100*$U$3</f>
        <v>521.8171006623445</v>
      </c>
      <c r="V100" s="201">
        <f aca="true" t="shared" si="15" ref="V100:V108">+T100*$V$3</f>
        <v>490.9707695887084</v>
      </c>
      <c r="W100" s="201">
        <f aca="true" t="shared" si="16" ref="W100:W108">+T100*$W$3</f>
        <v>348.9491202705087</v>
      </c>
      <c r="X100" s="201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1">
        <f t="shared" si="13"/>
        <v>64.86579256220634</v>
      </c>
      <c r="U101" s="201">
        <f t="shared" si="14"/>
        <v>526.7102356051154</v>
      </c>
      <c r="V101" s="201">
        <f t="shared" si="15"/>
        <v>495.5746551752564</v>
      </c>
      <c r="W101" s="201">
        <f t="shared" si="16"/>
        <v>352.2212536127804</v>
      </c>
      <c r="X101" s="201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1">
        <f t="shared" si="13"/>
        <v>65.4678422209248</v>
      </c>
      <c r="U102" s="201">
        <f t="shared" si="14"/>
        <v>531.5988788339092</v>
      </c>
      <c r="V102" s="201">
        <f t="shared" si="15"/>
        <v>500.1743145678654</v>
      </c>
      <c r="W102" s="201">
        <f t="shared" si="16"/>
        <v>355.49038325962164</v>
      </c>
      <c r="X102" s="201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1">
        <f t="shared" si="13"/>
        <v>66.06934480075962</v>
      </c>
      <c r="U103" s="201">
        <f t="shared" si="14"/>
        <v>536.483079782168</v>
      </c>
      <c r="V103" s="201">
        <f t="shared" si="15"/>
        <v>504.7697942778035</v>
      </c>
      <c r="W103" s="201">
        <f t="shared" si="16"/>
        <v>358.75654226812475</v>
      </c>
      <c r="X103" s="201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1">
        <f t="shared" si="13"/>
        <v>95.5527181439035</v>
      </c>
      <c r="U104" s="201">
        <f t="shared" si="14"/>
        <v>775.8880713284964</v>
      </c>
      <c r="V104" s="201">
        <f t="shared" si="15"/>
        <v>730.0227666194228</v>
      </c>
      <c r="W104" s="201">
        <f t="shared" si="16"/>
        <v>518.8512595213961</v>
      </c>
      <c r="X104" s="201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1">
        <f t="shared" si="13"/>
        <v>124.14730493195626</v>
      </c>
      <c r="U105" s="201">
        <f t="shared" si="14"/>
        <v>1008.0761160474847</v>
      </c>
      <c r="V105" s="201">
        <f t="shared" si="15"/>
        <v>948.4854096801457</v>
      </c>
      <c r="W105" s="201">
        <f t="shared" si="16"/>
        <v>674.1198657805224</v>
      </c>
      <c r="X105" s="201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1">
        <f t="shared" si="13"/>
        <v>152.0986669998285</v>
      </c>
      <c r="U106" s="201">
        <f t="shared" si="14"/>
        <v>1235.0411760386073</v>
      </c>
      <c r="V106" s="201">
        <f t="shared" si="15"/>
        <v>1162.0338158786897</v>
      </c>
      <c r="W106" s="201">
        <f t="shared" si="16"/>
        <v>825.8957618090687</v>
      </c>
      <c r="X106" s="201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1">
        <f t="shared" si="13"/>
        <v>179.54790489086352</v>
      </c>
      <c r="U107" s="201">
        <f t="shared" si="14"/>
        <v>1457.9289877138117</v>
      </c>
      <c r="V107" s="201">
        <f t="shared" si="15"/>
        <v>1371.7459933661974</v>
      </c>
      <c r="W107" s="201">
        <f t="shared" si="16"/>
        <v>974.9451235573889</v>
      </c>
      <c r="X107" s="201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1">
        <f t="shared" si="13"/>
        <v>206.5864916722183</v>
      </c>
      <c r="U108" s="201">
        <f t="shared" si="14"/>
        <v>1677.4823123784124</v>
      </c>
      <c r="V108" s="201">
        <f t="shared" si="15"/>
        <v>1578.3207963757477</v>
      </c>
      <c r="W108" s="201">
        <f t="shared" si="16"/>
        <v>1121.7646497801454</v>
      </c>
      <c r="X108" s="201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4" t="s">
        <v>11</v>
      </c>
      <c r="B1" s="325" t="s">
        <v>12</v>
      </c>
      <c r="C1" s="325"/>
      <c r="D1" s="326"/>
      <c r="E1" s="327" t="s">
        <v>13</v>
      </c>
      <c r="F1" s="328"/>
      <c r="G1" s="328"/>
      <c r="H1" s="329" t="s">
        <v>14</v>
      </c>
      <c r="I1" s="330"/>
      <c r="J1" s="330"/>
      <c r="K1" s="331" t="s">
        <v>15</v>
      </c>
      <c r="L1" s="332"/>
      <c r="M1" s="332"/>
    </row>
    <row r="2" spans="1:23" ht="26.25" customHeight="1">
      <c r="A2" s="324"/>
      <c r="B2" s="333" t="s">
        <v>16</v>
      </c>
      <c r="C2" s="334"/>
      <c r="D2" s="335"/>
      <c r="E2" s="336" t="s">
        <v>17</v>
      </c>
      <c r="F2" s="337"/>
      <c r="G2" s="338"/>
      <c r="H2" s="339" t="s">
        <v>17</v>
      </c>
      <c r="I2" s="340"/>
      <c r="J2" s="341"/>
      <c r="K2" s="342" t="s">
        <v>17</v>
      </c>
      <c r="L2" s="343"/>
      <c r="M2" s="344"/>
      <c r="P2" s="323" t="s">
        <v>161</v>
      </c>
      <c r="Q2" s="323"/>
      <c r="R2" s="323"/>
      <c r="S2" s="323"/>
      <c r="U2" s="199" t="s">
        <v>158</v>
      </c>
      <c r="V2" s="204" t="s">
        <v>157</v>
      </c>
      <c r="W2" s="199" t="s">
        <v>159</v>
      </c>
    </row>
    <row r="3" spans="1:24" ht="38.25">
      <c r="A3" s="324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9" t="s">
        <v>11</v>
      </c>
      <c r="P3" t="s">
        <v>73</v>
      </c>
      <c r="Q3" t="s">
        <v>76</v>
      </c>
      <c r="R3" t="s">
        <v>74</v>
      </c>
      <c r="S3" t="s">
        <v>75</v>
      </c>
      <c r="T3" s="202" t="s">
        <v>156</v>
      </c>
      <c r="U3" s="203">
        <v>8.12</v>
      </c>
      <c r="V3" s="203">
        <v>7.64</v>
      </c>
      <c r="W3" s="203">
        <v>5.43</v>
      </c>
      <c r="X3" s="203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4">
        <v>1</v>
      </c>
      <c r="P4" s="10">
        <v>8.908889039986956</v>
      </c>
      <c r="Q4" s="11">
        <v>3.4295581157762562</v>
      </c>
      <c r="R4" s="200">
        <v>2.504050923018408</v>
      </c>
      <c r="S4" s="14">
        <v>1.7524124640425989</v>
      </c>
      <c r="T4" s="201">
        <f>+POWER(A4,0.91)</f>
        <v>1</v>
      </c>
      <c r="U4" s="201">
        <f>+T4*$U$3</f>
        <v>8.12</v>
      </c>
      <c r="V4" s="201">
        <f>+T4*$V$3</f>
        <v>7.64</v>
      </c>
      <c r="W4" s="201">
        <f>+T4*$W$3</f>
        <v>5.43</v>
      </c>
      <c r="X4" s="198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4">
        <v>2</v>
      </c>
      <c r="P5" s="10">
        <v>16.082077694815176</v>
      </c>
      <c r="Q5" s="11">
        <v>6.124280586489884</v>
      </c>
      <c r="R5" s="200">
        <v>4.45358084893161</v>
      </c>
      <c r="S5" s="14">
        <v>3.1100764831756944</v>
      </c>
      <c r="T5" s="201">
        <f aca="true" t="shared" si="0" ref="T5:T68">+POWER(A5,0.91)</f>
        <v>1.8790454984280236</v>
      </c>
      <c r="U5" s="201">
        <f aca="true" t="shared" si="1" ref="U5:U68">+T5*$U$3</f>
        <v>15.25784944723555</v>
      </c>
      <c r="V5" s="201">
        <f aca="true" t="shared" si="2" ref="V5:V68">+T5*$V$3</f>
        <v>14.3559076079901</v>
      </c>
      <c r="W5" s="201">
        <f aca="true" t="shared" si="3" ref="W5:W68">+T5*$W$3</f>
        <v>10.203217056464167</v>
      </c>
      <c r="X5" s="198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4">
        <v>3</v>
      </c>
      <c r="P6" s="10">
        <v>21.981602599249506</v>
      </c>
      <c r="Q6" s="11">
        <v>8.308162155241025</v>
      </c>
      <c r="R6" s="200">
        <v>6.02458546878363</v>
      </c>
      <c r="S6" s="14">
        <v>4.200780046397355</v>
      </c>
      <c r="T6" s="201">
        <f t="shared" si="0"/>
        <v>2.717567510807211</v>
      </c>
      <c r="U6" s="201">
        <f t="shared" si="1"/>
        <v>22.066648187754552</v>
      </c>
      <c r="V6" s="201">
        <f t="shared" si="2"/>
        <v>20.762215782567093</v>
      </c>
      <c r="W6" s="201">
        <f t="shared" si="3"/>
        <v>14.756391583683156</v>
      </c>
      <c r="X6" s="198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4">
        <v>4</v>
      </c>
      <c r="P7" s="10">
        <v>26.979045657097046</v>
      </c>
      <c r="Q7" s="11">
        <v>10.07323138354697</v>
      </c>
      <c r="R7" s="200">
        <v>7.270491255421831</v>
      </c>
      <c r="S7" s="14">
        <v>5.056802505903509</v>
      </c>
      <c r="T7" s="201">
        <f t="shared" si="0"/>
        <v>3.5308119851626194</v>
      </c>
      <c r="U7" s="201">
        <f t="shared" si="1"/>
        <v>28.670193319520468</v>
      </c>
      <c r="V7" s="201">
        <f t="shared" si="2"/>
        <v>26.97540356664241</v>
      </c>
      <c r="W7" s="201">
        <f t="shared" si="3"/>
        <v>19.172309079433024</v>
      </c>
      <c r="X7" s="198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200">
        <v>8.390967977866188</v>
      </c>
      <c r="S8" s="14">
        <v>5.830103510177247</v>
      </c>
      <c r="T8" s="201">
        <f t="shared" si="0"/>
        <v>4.325762823966206</v>
      </c>
      <c r="U8" s="201">
        <f t="shared" si="1"/>
        <v>35.125194130605585</v>
      </c>
      <c r="V8" s="201">
        <f t="shared" si="2"/>
        <v>33.04882797510181</v>
      </c>
      <c r="W8" s="201">
        <f t="shared" si="3"/>
        <v>23.488892134136496</v>
      </c>
      <c r="X8" s="198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200">
        <v>9.40484794466119</v>
      </c>
      <c r="S9" s="14">
        <v>6.530267828509703</v>
      </c>
      <c r="T9" s="201">
        <f t="shared" si="0"/>
        <v>5.106432997856539</v>
      </c>
      <c r="U9" s="201">
        <f t="shared" si="1"/>
        <v>41.46423594259509</v>
      </c>
      <c r="V9" s="201">
        <f t="shared" si="2"/>
        <v>39.013148103623955</v>
      </c>
      <c r="W9" s="201">
        <f t="shared" si="3"/>
        <v>27.727931178361004</v>
      </c>
      <c r="X9" s="198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200">
        <v>10.414320950457714</v>
      </c>
      <c r="S10" s="14">
        <v>7.2352986396401375</v>
      </c>
      <c r="T10" s="201">
        <f t="shared" si="0"/>
        <v>5.875424047012153</v>
      </c>
      <c r="U10" s="201">
        <f t="shared" si="1"/>
        <v>47.70844326173868</v>
      </c>
      <c r="V10" s="201">
        <f t="shared" si="2"/>
        <v>44.888239719172844</v>
      </c>
      <c r="W10" s="201">
        <f t="shared" si="3"/>
        <v>31.903552575275988</v>
      </c>
      <c r="X10" s="198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200">
        <v>11.371521504674886</v>
      </c>
      <c r="S11" s="14">
        <v>7.9043714513824685</v>
      </c>
      <c r="T11" s="201">
        <f t="shared" si="0"/>
        <v>6.634556366515533</v>
      </c>
      <c r="U11" s="201">
        <f t="shared" si="1"/>
        <v>53.872597696106126</v>
      </c>
      <c r="V11" s="201">
        <f t="shared" si="2"/>
        <v>50.688010640178675</v>
      </c>
      <c r="W11" s="201">
        <f t="shared" si="3"/>
        <v>36.02564107017935</v>
      </c>
      <c r="X11" s="198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200">
        <v>12.291373801368287</v>
      </c>
      <c r="S12" s="14">
        <v>8.54771558932557</v>
      </c>
      <c r="T12" s="201">
        <f t="shared" si="0"/>
        <v>7.3851731757949</v>
      </c>
      <c r="U12" s="201">
        <f t="shared" si="1"/>
        <v>59.967606187454585</v>
      </c>
      <c r="V12" s="201">
        <f t="shared" si="2"/>
        <v>56.422723063073036</v>
      </c>
      <c r="W12" s="201">
        <f t="shared" si="3"/>
        <v>40.10149034456631</v>
      </c>
      <c r="X12" s="198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200">
        <v>13.18405903993979</v>
      </c>
      <c r="S13" s="14">
        <v>9.17231236360232</v>
      </c>
      <c r="T13" s="201">
        <f t="shared" si="0"/>
        <v>8.128305161640993</v>
      </c>
      <c r="U13" s="201">
        <f t="shared" si="1"/>
        <v>66.00183791252486</v>
      </c>
      <c r="V13" s="201">
        <f t="shared" si="2"/>
        <v>62.100251434937185</v>
      </c>
      <c r="W13" s="201">
        <f t="shared" si="3"/>
        <v>44.13669702771059</v>
      </c>
      <c r="X13" s="198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200">
        <v>14.056612950087551</v>
      </c>
      <c r="S14" s="14">
        <v>9.782988858183645</v>
      </c>
      <c r="T14" s="201">
        <f t="shared" si="0"/>
        <v>8.86476737410808</v>
      </c>
      <c r="U14" s="201">
        <f t="shared" si="1"/>
        <v>71.9819110777576</v>
      </c>
      <c r="V14" s="201">
        <f t="shared" si="2"/>
        <v>67.72682273818573</v>
      </c>
      <c r="W14" s="201">
        <f t="shared" si="3"/>
        <v>48.13568684140687</v>
      </c>
      <c r="X14" s="198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200">
        <v>14.913972147864998</v>
      </c>
      <c r="S15" s="14">
        <v>10.383134264162626</v>
      </c>
      <c r="T15" s="201">
        <f t="shared" si="0"/>
        <v>9.595219937646645</v>
      </c>
      <c r="U15" s="201">
        <f t="shared" si="1"/>
        <v>77.91318589369075</v>
      </c>
      <c r="V15" s="201">
        <f t="shared" si="2"/>
        <v>73.30748032362037</v>
      </c>
      <c r="W15" s="201">
        <f t="shared" si="3"/>
        <v>52.10204426142128</v>
      </c>
      <c r="X15" s="198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200">
        <v>15.759656906790571</v>
      </c>
      <c r="S16" s="14">
        <v>10.975167308367933</v>
      </c>
      <c r="T16" s="201">
        <f t="shared" si="0"/>
        <v>10.320208004137706</v>
      </c>
      <c r="U16" s="201">
        <f t="shared" si="1"/>
        <v>83.80008899359817</v>
      </c>
      <c r="V16" s="201">
        <f t="shared" si="2"/>
        <v>78.84638915161207</v>
      </c>
      <c r="W16" s="201">
        <f t="shared" si="3"/>
        <v>56.03872946246774</v>
      </c>
      <c r="X16" s="198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200">
        <v>16.596218780692613</v>
      </c>
      <c r="S17" s="14">
        <v>11.560842727186046</v>
      </c>
      <c r="T17" s="201">
        <f t="shared" si="0"/>
        <v>11.040189106893946</v>
      </c>
      <c r="U17" s="201">
        <f t="shared" si="1"/>
        <v>89.64633554797884</v>
      </c>
      <c r="V17" s="201">
        <f t="shared" si="2"/>
        <v>84.34704477666975</v>
      </c>
      <c r="W17" s="201">
        <f t="shared" si="3"/>
        <v>59.948226850434125</v>
      </c>
      <c r="X17" s="198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200">
        <v>17.425536897775878</v>
      </c>
      <c r="S18" s="14">
        <v>12.141454162135274</v>
      </c>
      <c r="T18" s="201">
        <f t="shared" si="0"/>
        <v>11.75555250986821</v>
      </c>
      <c r="U18" s="201">
        <f t="shared" si="1"/>
        <v>95.45508638012986</v>
      </c>
      <c r="V18" s="201">
        <f t="shared" si="2"/>
        <v>89.81242117539311</v>
      </c>
      <c r="W18" s="201">
        <f t="shared" si="3"/>
        <v>63.832650128584376</v>
      </c>
      <c r="X18" s="198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200">
        <v>18.249016517549222</v>
      </c>
      <c r="S19" s="14">
        <v>12.717970155826798</v>
      </c>
      <c r="T19" s="201">
        <f t="shared" si="0"/>
        <v>12.466633274567998</v>
      </c>
      <c r="U19" s="201">
        <f t="shared" si="1"/>
        <v>101.22906218949214</v>
      </c>
      <c r="V19" s="201">
        <f t="shared" si="2"/>
        <v>95.2450782176995</v>
      </c>
      <c r="W19" s="201">
        <f t="shared" si="3"/>
        <v>67.69381868090423</v>
      </c>
      <c r="X19" s="198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200">
        <v>19.06772392266481</v>
      </c>
      <c r="S20" s="14">
        <v>13.29112656610236</v>
      </c>
      <c r="T20" s="201">
        <f t="shared" si="0"/>
        <v>13.173722728062264</v>
      </c>
      <c r="U20" s="201">
        <f t="shared" si="1"/>
        <v>106.97062855186557</v>
      </c>
      <c r="V20" s="201">
        <f t="shared" si="2"/>
        <v>100.6472416423957</v>
      </c>
      <c r="W20" s="201">
        <f t="shared" si="3"/>
        <v>71.5333144133781</v>
      </c>
      <c r="X20" s="198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200">
        <v>19.882479368539293</v>
      </c>
      <c r="S21" s="14">
        <v>13.86149026483932</v>
      </c>
      <c r="T21" s="201">
        <f t="shared" si="0"/>
        <v>13.87707641108879</v>
      </c>
      <c r="U21" s="201">
        <f t="shared" si="1"/>
        <v>112.68186045804097</v>
      </c>
      <c r="V21" s="201">
        <f t="shared" si="2"/>
        <v>106.02086378071836</v>
      </c>
      <c r="W21" s="201">
        <f t="shared" si="3"/>
        <v>75.35252491221213</v>
      </c>
      <c r="X21" s="198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200">
        <v>20.693922047101367</v>
      </c>
      <c r="S22" s="14">
        <v>14.429503673229874</v>
      </c>
      <c r="T22" s="201">
        <f t="shared" si="0"/>
        <v>14.576920219562425</v>
      </c>
      <c r="U22" s="201">
        <f t="shared" si="1"/>
        <v>118.36459218284688</v>
      </c>
      <c r="V22" s="201">
        <f t="shared" si="2"/>
        <v>111.36767047745693</v>
      </c>
      <c r="W22" s="201">
        <f t="shared" si="3"/>
        <v>79.15267679222396</v>
      </c>
      <c r="X22" s="198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200">
        <v>21.502556125484006</v>
      </c>
      <c r="S23" s="14">
        <v>14.995516335360499</v>
      </c>
      <c r="T23" s="201">
        <f t="shared" si="0"/>
        <v>15.273455223830776</v>
      </c>
      <c r="U23" s="201">
        <f t="shared" si="1"/>
        <v>124.0204564175059</v>
      </c>
      <c r="V23" s="201">
        <f t="shared" si="2"/>
        <v>116.68919791006712</v>
      </c>
      <c r="W23" s="201">
        <f t="shared" si="3"/>
        <v>82.93486186540112</v>
      </c>
      <c r="X23" s="198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200">
        <v>22.308783812936007</v>
      </c>
      <c r="S24" s="14">
        <v>15.559807605389468</v>
      </c>
      <c r="T24" s="201">
        <f t="shared" si="0"/>
        <v>15.966861502375647</v>
      </c>
      <c r="U24" s="201">
        <f t="shared" si="1"/>
        <v>129.65091539929023</v>
      </c>
      <c r="V24" s="201">
        <f t="shared" si="2"/>
        <v>121.98682187814994</v>
      </c>
      <c r="W24" s="201">
        <f t="shared" si="3"/>
        <v>86.70005795789976</v>
      </c>
      <c r="X24" s="198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200">
        <v>23.112929417321887</v>
      </c>
      <c r="S25" s="14">
        <v>16.122603160457842</v>
      </c>
      <c r="T25" s="201">
        <f t="shared" si="0"/>
        <v>16.657301228929406</v>
      </c>
      <c r="U25" s="201">
        <f t="shared" si="1"/>
        <v>135.25728597890676</v>
      </c>
      <c r="V25" s="201">
        <f t="shared" si="2"/>
        <v>127.26178138902065</v>
      </c>
      <c r="W25" s="201">
        <f t="shared" si="3"/>
        <v>90.44914567308666</v>
      </c>
      <c r="X25" s="198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200">
        <v>23.91525706131794</v>
      </c>
      <c r="S26" s="14">
        <v>16.684087167719607</v>
      </c>
      <c r="T26" s="201">
        <f t="shared" si="0"/>
        <v>17.344921185779352</v>
      </c>
      <c r="U26" s="201">
        <f t="shared" si="1"/>
        <v>140.84076002852834</v>
      </c>
      <c r="V26" s="201">
        <f t="shared" si="2"/>
        <v>132.51519785935423</v>
      </c>
      <c r="W26" s="201">
        <f t="shared" si="3"/>
        <v>94.18292203878188</v>
      </c>
      <c r="X26" s="198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200">
        <v>24.71598388121765</v>
      </c>
      <c r="S27" s="14">
        <v>17.244411353988795</v>
      </c>
      <c r="T27" s="201">
        <f t="shared" si="0"/>
        <v>18.029854830261755</v>
      </c>
      <c r="U27" s="201">
        <f t="shared" si="1"/>
        <v>146.40242122172543</v>
      </c>
      <c r="V27" s="201">
        <f t="shared" si="2"/>
        <v>137.7480909031998</v>
      </c>
      <c r="W27" s="201">
        <f t="shared" si="3"/>
        <v>97.90211172832133</v>
      </c>
      <c r="X27" s="198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200">
        <v>25.51528996853033</v>
      </c>
      <c r="S28" s="14">
        <v>17.803701841275974</v>
      </c>
      <c r="T28" s="201">
        <f t="shared" si="0"/>
        <v>18.71222400920808</v>
      </c>
      <c r="U28" s="201">
        <f t="shared" si="1"/>
        <v>151.9432589547696</v>
      </c>
      <c r="V28" s="201">
        <f t="shared" si="2"/>
        <v>142.96139143034972</v>
      </c>
      <c r="W28" s="201">
        <f t="shared" si="3"/>
        <v>101.60737636999986</v>
      </c>
      <c r="X28" s="198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200">
        <v>26.31332593615216</v>
      </c>
      <c r="S29" s="14">
        <v>18.362064352406314</v>
      </c>
      <c r="T29" s="201">
        <f t="shared" si="0"/>
        <v>19.39214039301581</v>
      </c>
      <c r="U29" s="201">
        <f t="shared" si="1"/>
        <v>157.46417999128838</v>
      </c>
      <c r="V29" s="201">
        <f t="shared" si="2"/>
        <v>148.15595260264078</v>
      </c>
      <c r="W29" s="201">
        <f t="shared" si="3"/>
        <v>105.29932233407585</v>
      </c>
      <c r="X29" s="198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200">
        <v>27.11021873334087</v>
      </c>
      <c r="S30" s="14">
        <v>18.91958821454931</v>
      </c>
      <c r="T30" s="201">
        <f t="shared" si="0"/>
        <v>20.069706684225125</v>
      </c>
      <c r="U30" s="201">
        <f t="shared" si="1"/>
        <v>162.966018275908</v>
      </c>
      <c r="V30" s="201">
        <f t="shared" si="2"/>
        <v>153.33255906747993</v>
      </c>
      <c r="W30" s="201">
        <f t="shared" si="3"/>
        <v>108.97850729534242</v>
      </c>
      <c r="X30" s="198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200">
        <v>27.906076156357493</v>
      </c>
      <c r="S31" s="14">
        <v>19.476349467012078</v>
      </c>
      <c r="T31" s="201">
        <f t="shared" si="0"/>
        <v>20.745017643103168</v>
      </c>
      <c r="U31" s="201">
        <f t="shared" si="1"/>
        <v>168.44954326199772</v>
      </c>
      <c r="V31" s="201">
        <f t="shared" si="2"/>
        <v>158.4919347933082</v>
      </c>
      <c r="W31" s="201">
        <f t="shared" si="3"/>
        <v>112.64544580205019</v>
      </c>
      <c r="X31" s="198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200">
        <v>28.700990378097384</v>
      </c>
      <c r="S32" s="14">
        <v>20.032413295018404</v>
      </c>
      <c r="T32" s="201">
        <f t="shared" si="0"/>
        <v>21.418160963493182</v>
      </c>
      <c r="U32" s="201">
        <f t="shared" si="1"/>
        <v>173.91546702356462</v>
      </c>
      <c r="V32" s="201">
        <f t="shared" si="2"/>
        <v>163.6347497610879</v>
      </c>
      <c r="W32" s="201">
        <f t="shared" si="3"/>
        <v>116.30061403176798</v>
      </c>
      <c r="X32" s="198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200">
        <v>29.495040733033466</v>
      </c>
      <c r="S33" s="14">
        <v>20.587835951587046</v>
      </c>
      <c r="T33" s="201">
        <f t="shared" si="0"/>
        <v>22.089218025202122</v>
      </c>
      <c r="U33" s="201">
        <f t="shared" si="1"/>
        <v>179.36445036464121</v>
      </c>
      <c r="V33" s="201">
        <f t="shared" si="2"/>
        <v>168.7616257125442</v>
      </c>
      <c r="W33" s="201">
        <f t="shared" si="3"/>
        <v>119.94445387684752</v>
      </c>
      <c r="X33" s="198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200">
        <v>30.288295931885674</v>
      </c>
      <c r="S34" s="14">
        <v>21.142666287194388</v>
      </c>
      <c r="T34" s="201">
        <f t="shared" si="0"/>
        <v>22.758264543867377</v>
      </c>
      <c r="U34" s="201">
        <f t="shared" si="1"/>
        <v>184.7971080962031</v>
      </c>
      <c r="V34" s="201">
        <f t="shared" si="2"/>
        <v>173.87314111514675</v>
      </c>
      <c r="W34" s="201">
        <f t="shared" si="3"/>
        <v>123.57737647319985</v>
      </c>
      <c r="X34" s="198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200">
        <v>31.080815835931094</v>
      </c>
      <c r="S35" s="14">
        <v>21.696946976402867</v>
      </c>
      <c r="T35" s="201">
        <f t="shared" si="0"/>
        <v>23.425371135130007</v>
      </c>
      <c r="U35" s="201">
        <f t="shared" si="1"/>
        <v>190.21401361725563</v>
      </c>
      <c r="V35" s="201">
        <f t="shared" si="2"/>
        <v>178.96983547239324</v>
      </c>
      <c r="W35" s="201">
        <f t="shared" si="3"/>
        <v>127.19976526375594</v>
      </c>
      <c r="X35" s="198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200">
        <v>31.872652888574912</v>
      </c>
      <c r="S36" s="14">
        <v>22.250715508493244</v>
      </c>
      <c r="T36" s="201">
        <f t="shared" si="0"/>
        <v>24.090603806739875</v>
      </c>
      <c r="U36" s="201">
        <f t="shared" si="1"/>
        <v>195.61570291072778</v>
      </c>
      <c r="V36" s="201">
        <f t="shared" si="2"/>
        <v>184.05221308349263</v>
      </c>
      <c r="W36" s="201">
        <f t="shared" si="3"/>
        <v>130.8119786705975</v>
      </c>
      <c r="X36" s="198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200">
        <v>32.66385327815067</v>
      </c>
      <c r="S37" s="14">
        <v>22.80400499291732</v>
      </c>
      <c r="T37" s="201">
        <f t="shared" si="0"/>
        <v>24.754024389704348</v>
      </c>
      <c r="U37" s="201">
        <f t="shared" si="1"/>
        <v>201.0026780443993</v>
      </c>
      <c r="V37" s="201">
        <f t="shared" si="2"/>
        <v>189.12074633734122</v>
      </c>
      <c r="W37" s="201">
        <f t="shared" si="3"/>
        <v>134.41435243609462</v>
      </c>
      <c r="X37" s="198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200">
        <v>33.454457888444324</v>
      </c>
      <c r="S38" s="14">
        <v>23.356844818399427</v>
      </c>
      <c r="T38" s="201">
        <f t="shared" si="0"/>
        <v>25.415690917602237</v>
      </c>
      <c r="U38" s="201">
        <f t="shared" si="1"/>
        <v>206.37541025093014</v>
      </c>
      <c r="V38" s="201">
        <f t="shared" si="2"/>
        <v>194.17587861048108</v>
      </c>
      <c r="W38" s="201">
        <f t="shared" si="3"/>
        <v>138.00720168258013</v>
      </c>
      <c r="X38" s="198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200">
        <v>34.24450308041848</v>
      </c>
      <c r="S39" s="14">
        <v>23.909261195581323</v>
      </c>
      <c r="T39" s="201">
        <f t="shared" si="0"/>
        <v>26.075657961598115</v>
      </c>
      <c r="U39" s="201">
        <f t="shared" si="1"/>
        <v>211.73434264817666</v>
      </c>
      <c r="V39" s="201">
        <f t="shared" si="2"/>
        <v>199.2180268266096</v>
      </c>
      <c r="W39" s="201">
        <f t="shared" si="3"/>
        <v>141.59082273147774</v>
      </c>
      <c r="X39" s="198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200">
        <v>35.03402133883656</v>
      </c>
      <c r="S40" s="14">
        <v>24.461277606393462</v>
      </c>
      <c r="T40" s="201">
        <f t="shared" si="0"/>
        <v>26.7339769274174</v>
      </c>
      <c r="U40" s="201">
        <f t="shared" si="1"/>
        <v>217.0798926506293</v>
      </c>
      <c r="V40" s="201">
        <f t="shared" si="2"/>
        <v>204.24758372546893</v>
      </c>
      <c r="W40" s="201">
        <f t="shared" si="3"/>
        <v>145.1654947158765</v>
      </c>
      <c r="X40" s="198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200">
        <v>35.82304181008982</v>
      </c>
      <c r="S41" s="14">
        <v>25.012915178256186</v>
      </c>
      <c r="T41" s="201">
        <f t="shared" si="0"/>
        <v>27.39069631951321</v>
      </c>
      <c r="U41" s="201">
        <f t="shared" si="1"/>
        <v>222.41245411444726</v>
      </c>
      <c r="V41" s="201">
        <f t="shared" si="2"/>
        <v>209.2649198810809</v>
      </c>
      <c r="W41" s="201">
        <f t="shared" si="3"/>
        <v>148.73148101495673</v>
      </c>
      <c r="X41" s="198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200">
        <v>36.61159075189004</v>
      </c>
      <c r="S42" s="14">
        <v>25.56419299733977</v>
      </c>
      <c r="T42" s="201">
        <f t="shared" si="0"/>
        <v>28.045861976817147</v>
      </c>
      <c r="U42" s="201">
        <f t="shared" si="1"/>
        <v>227.7323992517552</v>
      </c>
      <c r="V42" s="201">
        <f t="shared" si="2"/>
        <v>214.270385502883</v>
      </c>
      <c r="W42" s="201">
        <f t="shared" si="3"/>
        <v>152.2890305341171</v>
      </c>
      <c r="X42" s="198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200">
        <v>37.39969191116648</v>
      </c>
      <c r="S43" s="14">
        <v>26.115128372140486</v>
      </c>
      <c r="T43" s="201">
        <f t="shared" si="0"/>
        <v>28.699517283781198</v>
      </c>
      <c r="U43" s="201">
        <f t="shared" si="1"/>
        <v>233.0400803443033</v>
      </c>
      <c r="V43" s="201">
        <f t="shared" si="2"/>
        <v>219.26431204808833</v>
      </c>
      <c r="W43" s="201">
        <f t="shared" si="3"/>
        <v>155.8383788509319</v>
      </c>
      <c r="X43" s="198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200">
        <v>38.18736684315763</v>
      </c>
      <c r="S44" s="14">
        <v>26.665737056328396</v>
      </c>
      <c r="T44" s="201">
        <f t="shared" si="0"/>
        <v>29.351703359853296</v>
      </c>
      <c r="U44" s="201">
        <f t="shared" si="1"/>
        <v>238.33583128200874</v>
      </c>
      <c r="V44" s="201">
        <f t="shared" si="2"/>
        <v>224.24701366927917</v>
      </c>
      <c r="W44" s="201">
        <f t="shared" si="3"/>
        <v>159.3797492440034</v>
      </c>
      <c r="X44" s="198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200">
        <v>38.97463518209336</v>
      </c>
      <c r="S45" s="14">
        <v>27.21603343803735</v>
      </c>
      <c r="T45" s="201">
        <f t="shared" si="0"/>
        <v>30.002459230062666</v>
      </c>
      <c r="U45" s="201">
        <f t="shared" si="1"/>
        <v>243.61996894810883</v>
      </c>
      <c r="V45" s="201">
        <f t="shared" si="2"/>
        <v>229.21878851767875</v>
      </c>
      <c r="W45" s="201">
        <f t="shared" si="3"/>
        <v>162.91335361924027</v>
      </c>
      <c r="X45" s="198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200">
        <v>39.76151487182436</v>
      </c>
      <c r="S46" s="14">
        <v>27.76603070136553</v>
      </c>
      <c r="T46" s="201">
        <f t="shared" si="0"/>
        <v>30.65182197900327</v>
      </c>
      <c r="U46" s="201">
        <f t="shared" si="1"/>
        <v>248.89279446950653</v>
      </c>
      <c r="V46" s="201">
        <f t="shared" si="2"/>
        <v>234.17991991958496</v>
      </c>
      <c r="W46" s="201">
        <f t="shared" si="3"/>
        <v>166.43939334598775</v>
      </c>
      <c r="X46" s="198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200">
        <v>40.54802236315958</v>
      </c>
      <c r="S47" s="14">
        <v>28.31574096475553</v>
      </c>
      <c r="T47" s="201">
        <f t="shared" si="0"/>
        <v>31.299826890179368</v>
      </c>
      <c r="U47" s="201">
        <f t="shared" si="1"/>
        <v>254.15459434825644</v>
      </c>
      <c r="V47" s="201">
        <f t="shared" si="2"/>
        <v>239.13067744097037</v>
      </c>
      <c r="W47" s="201">
        <f t="shared" si="3"/>
        <v>169.95806001367396</v>
      </c>
      <c r="X47" s="198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200">
        <v>41.33417278340353</v>
      </c>
      <c r="S48" s="14">
        <v>28.86517540004958</v>
      </c>
      <c r="T48" s="201">
        <f t="shared" si="0"/>
        <v>31.946507572406013</v>
      </c>
      <c r="U48" s="201">
        <f t="shared" si="1"/>
        <v>259.4056414879368</v>
      </c>
      <c r="V48" s="201">
        <f t="shared" si="2"/>
        <v>244.07131785318194</v>
      </c>
      <c r="W48" s="201">
        <f t="shared" si="3"/>
        <v>173.46953611816463</v>
      </c>
      <c r="X48" s="198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200">
        <v>42.11998008257859</v>
      </c>
      <c r="S49" s="14">
        <v>29.41434433532164</v>
      </c>
      <c r="T49" s="201">
        <f t="shared" si="0"/>
        <v>32.59189607472756</v>
      </c>
      <c r="U49" s="201">
        <f t="shared" si="1"/>
        <v>264.64619612678774</v>
      </c>
      <c r="V49" s="201">
        <f t="shared" si="2"/>
        <v>249.00208601091853</v>
      </c>
      <c r="W49" s="201">
        <f t="shared" si="3"/>
        <v>176.97399568577063</v>
      </c>
      <c r="X49" s="198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200">
        <v>42.90545716001276</v>
      </c>
      <c r="S50" s="14">
        <v>29.963257344033387</v>
      </c>
      <c r="T50" s="201">
        <f t="shared" si="0"/>
        <v>33.236022991124564</v>
      </c>
      <c r="U50" s="201">
        <f t="shared" si="1"/>
        <v>269.87650668793145</v>
      </c>
      <c r="V50" s="201">
        <f t="shared" si="2"/>
        <v>253.92321565219166</v>
      </c>
      <c r="W50" s="201">
        <f t="shared" si="3"/>
        <v>180.47160484180637</v>
      </c>
      <c r="X50" s="198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200">
        <v>43.690615974323364</v>
      </c>
      <c r="S51" s="14">
        <v>30.511923322612986</v>
      </c>
      <c r="T51" s="201">
        <f t="shared" si="0"/>
        <v>33.878917556114104</v>
      </c>
      <c r="U51" s="201">
        <f t="shared" si="1"/>
        <v>275.09681055564647</v>
      </c>
      <c r="V51" s="201">
        <f t="shared" si="2"/>
        <v>258.83493012871173</v>
      </c>
      <c r="W51" s="201">
        <f t="shared" si="3"/>
        <v>183.96252232969957</v>
      </c>
      <c r="X51" s="198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200">
        <v>44.47546763930923</v>
      </c>
      <c r="S52" s="14">
        <v>31.060350558197904</v>
      </c>
      <c r="T52" s="201">
        <f t="shared" si="0"/>
        <v>34.52060773220867</v>
      </c>
      <c r="U52" s="201">
        <f t="shared" si="1"/>
        <v>280.30733478553435</v>
      </c>
      <c r="V52" s="201">
        <f t="shared" si="2"/>
        <v>263.7374430740742</v>
      </c>
      <c r="W52" s="201">
        <f t="shared" si="3"/>
        <v>187.44689998589305</v>
      </c>
      <c r="X52" s="198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200">
        <v>45.26002250783339</v>
      </c>
      <c r="S53" s="14">
        <v>31.60854678798593</v>
      </c>
      <c r="T53" s="201">
        <f t="shared" si="0"/>
        <v>35.16112029007922</v>
      </c>
      <c r="U53" s="201">
        <f t="shared" si="1"/>
        <v>285.5082967554432</v>
      </c>
      <c r="V53" s="201">
        <f t="shared" si="2"/>
        <v>268.6309590162052</v>
      </c>
      <c r="W53" s="201">
        <f t="shared" si="3"/>
        <v>190.92488317513013</v>
      </c>
      <c r="X53" s="198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200">
        <v>46.04429024543965</v>
      </c>
      <c r="S54" s="14">
        <v>32.156519251404575</v>
      </c>
      <c r="T54" s="201">
        <f t="shared" si="0"/>
        <v>35.80048088216455</v>
      </c>
      <c r="U54" s="201">
        <f t="shared" si="1"/>
        <v>290.6999047631761</v>
      </c>
      <c r="V54" s="201">
        <f t="shared" si="2"/>
        <v>273.51567393973716</v>
      </c>
      <c r="W54" s="201">
        <f t="shared" si="3"/>
        <v>194.3966111901535</v>
      </c>
      <c r="X54" s="198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200">
        <v>46.82827989515876</v>
      </c>
      <c r="S55" s="14">
        <v>32.704274736110065</v>
      </c>
      <c r="T55" s="201">
        <f t="shared" si="0"/>
        <v>36.4387141103806</v>
      </c>
      <c r="U55" s="201">
        <f t="shared" si="1"/>
        <v>295.88235857629047</v>
      </c>
      <c r="V55" s="201">
        <f t="shared" si="2"/>
        <v>278.3917758033078</v>
      </c>
      <c r="W55" s="201">
        <f t="shared" si="3"/>
        <v>197.86221761936665</v>
      </c>
      <c r="X55" s="198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200">
        <v>47.611999934729276</v>
      </c>
      <c r="S56" s="14">
        <v>33.25181961866791</v>
      </c>
      <c r="T56" s="201">
        <f t="shared" si="0"/>
        <v>37.07584358850742</v>
      </c>
      <c r="U56" s="201">
        <f t="shared" si="1"/>
        <v>301.0558499386802</v>
      </c>
      <c r="V56" s="201">
        <f t="shared" si="2"/>
        <v>283.25944501619665</v>
      </c>
      <c r="W56" s="201">
        <f t="shared" si="3"/>
        <v>201.32183068559527</v>
      </c>
      <c r="X56" s="198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200">
        <v>48.39545832726965</v>
      </c>
      <c r="S57" s="14">
        <v>33.7991599006361</v>
      </c>
      <c r="T57" s="201">
        <f t="shared" si="0"/>
        <v>37.71189199976405</v>
      </c>
      <c r="U57" s="201">
        <f t="shared" si="1"/>
        <v>306.22056303808404</v>
      </c>
      <c r="V57" s="201">
        <f t="shared" si="2"/>
        <v>288.11885487819734</v>
      </c>
      <c r="W57" s="201">
        <f t="shared" si="3"/>
        <v>204.77557355871878</v>
      </c>
      <c r="X57" s="198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200">
        <v>49.178662566271946</v>
      </c>
      <c r="S58" s="14">
        <v>34.34630124065748</v>
      </c>
      <c r="T58" s="201">
        <f t="shared" si="0"/>
        <v>38.34688115002526</v>
      </c>
      <c r="U58" s="201">
        <f t="shared" si="1"/>
        <v>311.3766749382051</v>
      </c>
      <c r="V58" s="201">
        <f t="shared" si="2"/>
        <v>292.970171986193</v>
      </c>
      <c r="W58" s="201">
        <f t="shared" si="3"/>
        <v>208.22356464463715</v>
      </c>
      <c r="X58" s="198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200">
        <v>49.96161971566598</v>
      </c>
      <c r="S59" s="14">
        <v>34.89324898308298</v>
      </c>
      <c r="T59" s="201">
        <f t="shared" si="0"/>
        <v>38.98083201708297</v>
      </c>
      <c r="U59" s="201">
        <f t="shared" si="1"/>
        <v>316.5243559787137</v>
      </c>
      <c r="V59" s="201">
        <f t="shared" si="2"/>
        <v>297.81355661051384</v>
      </c>
      <c r="W59" s="201">
        <f t="shared" si="3"/>
        <v>211.66591785276051</v>
      </c>
      <c r="X59" s="198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200">
        <v>50.74433644558356</v>
      </c>
      <c r="S60" s="14">
        <v>35.44000818356525</v>
      </c>
      <c r="T60" s="201">
        <f t="shared" si="0"/>
        <v>39.613764796311564</v>
      </c>
      <c r="U60" s="201">
        <f t="shared" si="1"/>
        <v>321.66377014604984</v>
      </c>
      <c r="V60" s="201">
        <f t="shared" si="2"/>
        <v>302.64916304382035</v>
      </c>
      <c r="W60" s="201">
        <f t="shared" si="3"/>
        <v>215.10274284397178</v>
      </c>
      <c r="X60" s="198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200">
        <v>51.52681906436671</v>
      </c>
      <c r="S61" s="14">
        <v>35.98658363200258</v>
      </c>
      <c r="T61" s="201">
        <f t="shared" si="0"/>
        <v>40.24569894305868</v>
      </c>
      <c r="U61" s="201">
        <f t="shared" si="1"/>
        <v>326.79507541763644</v>
      </c>
      <c r="V61" s="201">
        <f t="shared" si="2"/>
        <v>307.4771399249683</v>
      </c>
      <c r="W61" s="201">
        <f t="shared" si="3"/>
        <v>218.5341452608086</v>
      </c>
      <c r="X61" s="198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200">
        <v>52.30907354728309</v>
      </c>
      <c r="S62" s="14">
        <v>36.532979873156705</v>
      </c>
      <c r="T62" s="201">
        <f t="shared" si="0"/>
        <v>40.87665321204783</v>
      </c>
      <c r="U62" s="201">
        <f t="shared" si="1"/>
        <v>331.91842408182833</v>
      </c>
      <c r="V62" s="201">
        <f t="shared" si="2"/>
        <v>312.29763054004536</v>
      </c>
      <c r="W62" s="201">
        <f t="shared" si="3"/>
        <v>221.9602269414197</v>
      </c>
      <c r="X62" s="198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200">
        <v>53.09110556234813</v>
      </c>
      <c r="S63" s="14">
        <v>37.07920122522441</v>
      </c>
      <c r="T63" s="201">
        <f t="shared" si="0"/>
        <v>41.50664569405118</v>
      </c>
      <c r="U63" s="201">
        <f t="shared" si="1"/>
        <v>337.03396303569554</v>
      </c>
      <c r="V63" s="201">
        <f t="shared" si="2"/>
        <v>317.110773102551</v>
      </c>
      <c r="W63" s="201">
        <f t="shared" si="3"/>
        <v>225.3810861186979</v>
      </c>
      <c r="X63" s="198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200">
        <v>53.87292049359906</v>
      </c>
      <c r="S64" s="14">
        <v>37.625251796604196</v>
      </c>
      <c r="T64" s="201">
        <f t="shared" si="0"/>
        <v>42.13569385006394</v>
      </c>
      <c r="U64" s="201">
        <f t="shared" si="1"/>
        <v>342.14183406251914</v>
      </c>
      <c r="V64" s="201">
        <f t="shared" si="2"/>
        <v>321.91670101448847</v>
      </c>
      <c r="W64" s="201">
        <f t="shared" si="3"/>
        <v>228.79681760584717</v>
      </c>
      <c r="X64" s="198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200">
        <v>54.65452346211834</v>
      </c>
      <c r="S65" s="14">
        <v>38.17113550106727</v>
      </c>
      <c r="T65" s="201">
        <f t="shared" si="0"/>
        <v>42.763814543188104</v>
      </c>
      <c r="U65" s="201">
        <f t="shared" si="1"/>
        <v>347.2421740906874</v>
      </c>
      <c r="V65" s="201">
        <f t="shared" si="2"/>
        <v>326.7155431099571</v>
      </c>
      <c r="W65" s="201">
        <f t="shared" si="3"/>
        <v>232.20751296951138</v>
      </c>
      <c r="X65" s="198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200">
        <v>55.43591934506323</v>
      </c>
      <c r="S66" s="14">
        <v>38.71685607151234</v>
      </c>
      <c r="T66" s="201">
        <f t="shared" si="0"/>
        <v>43.39102406841445</v>
      </c>
      <c r="U66" s="201">
        <f t="shared" si="1"/>
        <v>352.3351154355253</v>
      </c>
      <c r="V66" s="201">
        <f t="shared" si="2"/>
        <v>331.5074238826864</v>
      </c>
      <c r="W66" s="201">
        <f t="shared" si="3"/>
        <v>235.61326069149047</v>
      </c>
      <c r="X66" s="198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200">
        <v>56.21711279293002</v>
      </c>
      <c r="S67" s="14">
        <v>39.262417072465354</v>
      </c>
      <c r="T67" s="201">
        <f t="shared" si="0"/>
        <v>44.017338180471796</v>
      </c>
      <c r="U67" s="201">
        <f t="shared" si="1"/>
        <v>357.42078602543097</v>
      </c>
      <c r="V67" s="201">
        <f t="shared" si="2"/>
        <v>336.2924636988045</v>
      </c>
      <c r="W67" s="201">
        <f t="shared" si="3"/>
        <v>239.01414631996184</v>
      </c>
      <c r="X67" s="198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200">
        <v>56.99810824524186</v>
      </c>
      <c r="S68" s="14">
        <v>39.807821911456735</v>
      </c>
      <c r="T68" s="201">
        <f t="shared" si="0"/>
        <v>44.64277211989733</v>
      </c>
      <c r="U68" s="201">
        <f t="shared" si="1"/>
        <v>362.4993096135663</v>
      </c>
      <c r="V68" s="201">
        <f t="shared" si="2"/>
        <v>341.0707789960156</v>
      </c>
      <c r="W68" s="201">
        <f t="shared" si="3"/>
        <v>242.4102526110425</v>
      </c>
      <c r="X68" s="198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200">
        <v>57.778909944839285</v>
      </c>
      <c r="S69" s="14">
        <v>40.35307384940229</v>
      </c>
      <c r="T69" s="201">
        <f aca="true" t="shared" si="5" ref="T69:T108">+POWER(A69,0.91)</f>
        <v>45.26734063746754</v>
      </c>
      <c r="U69" s="201">
        <f aca="true" t="shared" si="6" ref="U69:U108">+T69*$U$3</f>
        <v>367.5708059762364</v>
      </c>
      <c r="V69" s="201">
        <f aca="true" t="shared" si="7" ref="V69:V108">+T69*$V$3</f>
        <v>345.842482470252</v>
      </c>
      <c r="W69" s="201">
        <f aca="true" t="shared" si="8" ref="W69:W108">+T69*$W$3</f>
        <v>245.80165966144872</v>
      </c>
      <c r="X69" s="198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200">
        <v>58.55952195091641</v>
      </c>
      <c r="S70" s="14">
        <v>40.89817601008853</v>
      </c>
      <c r="T70" s="201">
        <f t="shared" si="5"/>
        <v>45.89105801711577</v>
      </c>
      <c r="U70" s="201">
        <f t="shared" si="6"/>
        <v>372.63539109898</v>
      </c>
      <c r="V70" s="201">
        <f t="shared" si="7"/>
        <v>350.60768325076447</v>
      </c>
      <c r="W70" s="201">
        <f t="shared" si="8"/>
        <v>249.1884450329386</v>
      </c>
      <c r="X70" s="198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200">
        <v>59.3399481509374</v>
      </c>
      <c r="S71" s="14">
        <v>41.44313138885756</v>
      </c>
      <c r="T71" s="201">
        <f t="shared" si="5"/>
        <v>46.51393809745145</v>
      </c>
      <c r="U71" s="201">
        <f t="shared" si="6"/>
        <v>377.69317735130574</v>
      </c>
      <c r="V71" s="201">
        <f t="shared" si="7"/>
        <v>355.36648706452905</v>
      </c>
      <c r="W71" s="201">
        <f t="shared" si="8"/>
        <v>252.57068386916137</v>
      </c>
      <c r="X71" s="198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200">
        <v>60.120192271548056</v>
      </c>
      <c r="S72" s="14">
        <v>41.98794286057236</v>
      </c>
      <c r="T72" s="201">
        <f t="shared" si="5"/>
        <v>47.135994291985675</v>
      </c>
      <c r="U72" s="201">
        <f t="shared" si="6"/>
        <v>382.7442736509236</v>
      </c>
      <c r="V72" s="201">
        <f t="shared" si="7"/>
        <v>360.1189963907705</v>
      </c>
      <c r="W72" s="201">
        <f t="shared" si="8"/>
        <v>255.9484490054822</v>
      </c>
      <c r="X72" s="198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200">
        <v>60.900257888585145</v>
      </c>
      <c r="S73" s="14">
        <v>42.53261318693528</v>
      </c>
      <c r="T73" s="201">
        <f t="shared" si="5"/>
        <v>47.7572396081585</v>
      </c>
      <c r="U73" s="201">
        <f t="shared" si="6"/>
        <v>387.788785618247</v>
      </c>
      <c r="V73" s="201">
        <f t="shared" si="7"/>
        <v>364.8653106063309</v>
      </c>
      <c r="W73" s="201">
        <f t="shared" si="8"/>
        <v>259.32181107230065</v>
      </c>
      <c r="X73" s="198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200">
        <v>61.68014843627005</v>
      </c>
      <c r="S74" s="14">
        <v>43.07714502322086</v>
      </c>
      <c r="T74" s="201">
        <f t="shared" si="5"/>
        <v>48.37768666525503</v>
      </c>
      <c r="U74" s="201">
        <f t="shared" si="6"/>
        <v>392.8268157218708</v>
      </c>
      <c r="V74" s="201">
        <f t="shared" si="7"/>
        <v>369.6055261225484</v>
      </c>
      <c r="W74" s="201">
        <f t="shared" si="8"/>
        <v>262.6908385923348</v>
      </c>
      <c r="X74" s="198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200">
        <v>62.4598672156748</v>
      </c>
      <c r="S75" s="14">
        <v>43.62154092448556</v>
      </c>
      <c r="T75" s="201">
        <f t="shared" si="5"/>
        <v>48.997347711289784</v>
      </c>
      <c r="U75" s="201">
        <f t="shared" si="6"/>
        <v>397.858463415673</v>
      </c>
      <c r="V75" s="201">
        <f t="shared" si="7"/>
        <v>374.33973651425396</v>
      </c>
      <c r="W75" s="201">
        <f t="shared" si="8"/>
        <v>266.0555980723035</v>
      </c>
      <c r="X75" s="198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200">
        <v>63.23941740251736</v>
      </c>
      <c r="S76" s="14">
        <v>44.1658033512947</v>
      </c>
      <c r="T76" s="201">
        <f t="shared" si="5"/>
        <v>49.61623463893257</v>
      </c>
      <c r="U76" s="201">
        <f t="shared" si="6"/>
        <v>402.8838252681324</v>
      </c>
      <c r="V76" s="201">
        <f t="shared" si="7"/>
        <v>379.0680326414448</v>
      </c>
      <c r="W76" s="201">
        <f t="shared" si="8"/>
        <v>269.41615408940385</v>
      </c>
      <c r="X76" s="198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200">
        <v>64.0188020543655</v>
      </c>
      <c r="S77" s="14">
        <v>44.70993467502271</v>
      </c>
      <c r="T77" s="201">
        <f t="shared" si="5"/>
        <v>50.234359000542355</v>
      </c>
      <c r="U77" s="201">
        <f t="shared" si="6"/>
        <v>407.90299508440387</v>
      </c>
      <c r="V77" s="201">
        <f t="shared" si="7"/>
        <v>383.7905027641436</v>
      </c>
      <c r="W77" s="201">
        <f t="shared" si="8"/>
        <v>272.772569372945</v>
      </c>
      <c r="X77" s="198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200">
        <v>64.79802411729051</v>
      </c>
      <c r="S78" s="14">
        <v>45.253937182756516</v>
      </c>
      <c r="T78" s="201">
        <f t="shared" si="5"/>
        <v>50.851732022370506</v>
      </c>
      <c r="U78" s="201">
        <f t="shared" si="6"/>
        <v>412.9160640216485</v>
      </c>
      <c r="V78" s="201">
        <f t="shared" si="7"/>
        <v>388.5072326509106</v>
      </c>
      <c r="W78" s="201">
        <f t="shared" si="8"/>
        <v>276.1249048814718</v>
      </c>
      <c r="X78" s="198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200">
        <v>65.57708643202976</v>
      </c>
      <c r="S79" s="14">
        <v>45.7978130818437</v>
      </c>
      <c r="T79" s="201">
        <f t="shared" si="5"/>
        <v>51.468364617990346</v>
      </c>
      <c r="U79" s="201">
        <f t="shared" si="6"/>
        <v>417.92312069808156</v>
      </c>
      <c r="V79" s="201">
        <f t="shared" si="7"/>
        <v>393.2183056814462</v>
      </c>
      <c r="W79" s="201">
        <f t="shared" si="8"/>
        <v>279.47321987568756</v>
      </c>
      <c r="X79" s="198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200">
        <v>66.35599173970088</v>
      </c>
      <c r="S80" s="14">
        <v>46.34156450411596</v>
      </c>
      <c r="T80" s="201">
        <f t="shared" si="5"/>
        <v>52.08426740100342</v>
      </c>
      <c r="U80" s="201">
        <f t="shared" si="6"/>
        <v>422.92425129614776</v>
      </c>
      <c r="V80" s="201">
        <f t="shared" si="7"/>
        <v>397.92380294366615</v>
      </c>
      <c r="W80" s="201">
        <f t="shared" si="8"/>
        <v>282.81757198744856</v>
      </c>
      <c r="X80" s="198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200">
        <v>67.13474268710293</v>
      </c>
      <c r="S81" s="14">
        <v>46.88519350981329</v>
      </c>
      <c r="T81" s="201">
        <f t="shared" si="5"/>
        <v>52.699450697071924</v>
      </c>
      <c r="U81" s="201">
        <f t="shared" si="6"/>
        <v>427.91953966022396</v>
      </c>
      <c r="V81" s="201">
        <f t="shared" si="7"/>
        <v>402.62380332562947</v>
      </c>
      <c r="W81" s="201">
        <f t="shared" si="8"/>
        <v>286.1580172851005</v>
      </c>
      <c r="X81" s="198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200">
        <v>67.91334183164727</v>
      </c>
      <c r="S82" s="14">
        <v>47.42870209123937</v>
      </c>
      <c r="T82" s="201">
        <f t="shared" si="5"/>
        <v>53.31392455532028</v>
      </c>
      <c r="U82" s="201">
        <f t="shared" si="6"/>
        <v>432.90906738920063</v>
      </c>
      <c r="V82" s="201">
        <f t="shared" si="7"/>
        <v>407.3183836026469</v>
      </c>
      <c r="W82" s="201">
        <f t="shared" si="8"/>
        <v>289.4946103353891</v>
      </c>
      <c r="X82" s="198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200">
        <v>68.69179164594564</v>
      </c>
      <c r="S83" s="14">
        <v>47.972092176167564</v>
      </c>
      <c r="T83" s="201">
        <f t="shared" si="5"/>
        <v>53.92769875914632</v>
      </c>
      <c r="U83" s="201">
        <f t="shared" si="6"/>
        <v>437.89291392426804</v>
      </c>
      <c r="V83" s="201">
        <f t="shared" si="7"/>
        <v>412.00761851987784</v>
      </c>
      <c r="W83" s="201">
        <f t="shared" si="8"/>
        <v>292.82740426216446</v>
      </c>
      <c r="X83" s="198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200">
        <v>69.47009452208592</v>
      </c>
      <c r="S84" s="14">
        <v>48.51536563101962</v>
      </c>
      <c r="T84" s="201">
        <f t="shared" si="5"/>
        <v>54.54078283648054</v>
      </c>
      <c r="U84" s="201">
        <f t="shared" si="6"/>
        <v>442.8711566322219</v>
      </c>
      <c r="V84" s="201">
        <f t="shared" si="7"/>
        <v>416.6915808707113</v>
      </c>
      <c r="W84" s="201">
        <f t="shared" si="8"/>
        <v>296.1564508020893</v>
      </c>
      <c r="X84" s="198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200">
        <v>70.24825277561999</v>
      </c>
      <c r="S85" s="14">
        <v>49.05852426383481</v>
      </c>
      <c r="T85" s="201">
        <f t="shared" si="5"/>
        <v>55.153186069527024</v>
      </c>
      <c r="U85" s="201">
        <f t="shared" si="6"/>
        <v>447.8438708845594</v>
      </c>
      <c r="V85" s="201">
        <f t="shared" si="7"/>
        <v>421.37034157118643</v>
      </c>
      <c r="W85" s="201">
        <f t="shared" si="8"/>
        <v>299.4818003575317</v>
      </c>
      <c r="X85" s="198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200">
        <v>71.02626864929277</v>
      </c>
      <c r="S86" s="14">
        <v>49.60156982704957</v>
      </c>
      <c r="T86" s="201">
        <f t="shared" si="5"/>
        <v>55.7649175040193</v>
      </c>
      <c r="U86" s="201">
        <f t="shared" si="6"/>
        <v>452.81113013263666</v>
      </c>
      <c r="V86" s="201">
        <f t="shared" si="7"/>
        <v>426.04396973070743</v>
      </c>
      <c r="W86" s="201">
        <f t="shared" si="8"/>
        <v>302.8035020468248</v>
      </c>
      <c r="X86" s="198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200">
        <v>71.80414431652441</v>
      </c>
      <c r="S87" s="14">
        <v>50.144504020097244</v>
      </c>
      <c r="T87" s="201">
        <f t="shared" si="5"/>
        <v>56.37598595801953</v>
      </c>
      <c r="U87" s="201">
        <f t="shared" si="6"/>
        <v>457.7730059791185</v>
      </c>
      <c r="V87" s="201">
        <f t="shared" si="7"/>
        <v>430.7125327192692</v>
      </c>
      <c r="W87" s="201">
        <f t="shared" si="8"/>
        <v>306.12160375204604</v>
      </c>
      <c r="X87" s="198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200">
        <v>72.58188188467345</v>
      </c>
      <c r="S88" s="14">
        <v>50.68732849184727</v>
      </c>
      <c r="T88" s="201">
        <f t="shared" si="5"/>
        <v>56.98640003029041</v>
      </c>
      <c r="U88" s="201">
        <f t="shared" si="6"/>
        <v>462.7295682459581</v>
      </c>
      <c r="V88" s="201">
        <f t="shared" si="7"/>
        <v>435.3760962314187</v>
      </c>
      <c r="W88" s="201">
        <f t="shared" si="8"/>
        <v>309.43615216447694</v>
      </c>
      <c r="X88" s="198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200">
        <v>73.35948339809528</v>
      </c>
      <c r="S89" s="14">
        <v>51.23004484289434</v>
      </c>
      <c r="T89" s="201">
        <f t="shared" si="5"/>
        <v>57.59616810826324</v>
      </c>
      <c r="U89" s="201">
        <f t="shared" si="6"/>
        <v>467.68088503909746</v>
      </c>
      <c r="V89" s="201">
        <f t="shared" si="7"/>
        <v>440.03472434713115</v>
      </c>
      <c r="W89" s="201">
        <f t="shared" si="8"/>
        <v>312.7471928278694</v>
      </c>
      <c r="X89" s="198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200">
        <v>74.13695084100803</v>
      </c>
      <c r="S90" s="14">
        <v>51.772654627706444</v>
      </c>
      <c r="T90" s="201">
        <f t="shared" si="5"/>
        <v>58.20529837562834</v>
      </c>
      <c r="U90" s="201">
        <f t="shared" si="6"/>
        <v>472.62702281010206</v>
      </c>
      <c r="V90" s="201">
        <f t="shared" si="7"/>
        <v>444.68847958980047</v>
      </c>
      <c r="W90" s="201">
        <f t="shared" si="8"/>
        <v>316.0547701796619</v>
      </c>
      <c r="X90" s="198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200">
        <v>74.91428614019061</v>
      </c>
      <c r="S91" s="14">
        <v>52.31515935664919</v>
      </c>
      <c r="T91" s="201">
        <f t="shared" si="5"/>
        <v>58.813798819567964</v>
      </c>
      <c r="U91" s="201">
        <f t="shared" si="6"/>
        <v>477.5680464148918</v>
      </c>
      <c r="V91" s="201">
        <f t="shared" si="7"/>
        <v>449.33742298149923</v>
      </c>
      <c r="W91" s="201">
        <f t="shared" si="8"/>
        <v>319.35892759025404</v>
      </c>
      <c r="X91" s="198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200">
        <v>75.69149116751105</v>
      </c>
      <c r="S92" s="14">
        <v>52.85756049788574</v>
      </c>
      <c r="T92" s="201">
        <f t="shared" si="5"/>
        <v>59.421677237653576</v>
      </c>
      <c r="U92" s="201">
        <f t="shared" si="6"/>
        <v>482.504019169747</v>
      </c>
      <c r="V92" s="201">
        <f t="shared" si="7"/>
        <v>453.9816140956733</v>
      </c>
      <c r="W92" s="201">
        <f t="shared" si="8"/>
        <v>322.6597074004589</v>
      </c>
      <c r="X92" s="198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200">
        <v>76.4685677423115</v>
      </c>
      <c r="S93" s="14">
        <v>53.39985947917085</v>
      </c>
      <c r="T93" s="201">
        <f t="shared" si="5"/>
        <v>60.0289412444263</v>
      </c>
      <c r="U93" s="201">
        <f t="shared" si="6"/>
        <v>487.4350029047415</v>
      </c>
      <c r="V93" s="201">
        <f t="shared" si="7"/>
        <v>458.6211111074169</v>
      </c>
      <c r="W93" s="201">
        <f t="shared" si="8"/>
        <v>325.9571509572348</v>
      </c>
      <c r="X93" s="198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200">
        <v>77.24551763365223</v>
      </c>
      <c r="S94" s="14">
        <v>53.94205768954094</v>
      </c>
      <c r="T94" s="201">
        <f t="shared" si="5"/>
        <v>60.63559827767792</v>
      </c>
      <c r="U94" s="201">
        <f t="shared" si="6"/>
        <v>492.3610580147447</v>
      </c>
      <c r="V94" s="201">
        <f t="shared" si="7"/>
        <v>463.2559708414593</v>
      </c>
      <c r="W94" s="201">
        <f t="shared" si="8"/>
        <v>329.2512986477911</v>
      </c>
      <c r="X94" s="198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200">
        <v>78.0223425624279</v>
      </c>
      <c r="S95" s="14">
        <v>54.48415648090995</v>
      </c>
      <c r="T95" s="201">
        <f t="shared" si="5"/>
        <v>61.241655604450784</v>
      </c>
      <c r="U95" s="201">
        <f t="shared" si="6"/>
        <v>497.2822435081403</v>
      </c>
      <c r="V95" s="201">
        <f t="shared" si="7"/>
        <v>467.886248818004</v>
      </c>
      <c r="W95" s="201">
        <f t="shared" si="8"/>
        <v>332.54218993216773</v>
      </c>
      <c r="X95" s="198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200">
        <v>78.79904420336376</v>
      </c>
      <c r="S96" s="14">
        <v>55.026157169576244</v>
      </c>
      <c r="T96" s="201">
        <f t="shared" si="5"/>
        <v>61.84712032676967</v>
      </c>
      <c r="U96" s="201">
        <f t="shared" si="6"/>
        <v>502.1986170533697</v>
      </c>
      <c r="V96" s="201">
        <f t="shared" si="7"/>
        <v>472.51199929652023</v>
      </c>
      <c r="W96" s="201">
        <f t="shared" si="8"/>
        <v>335.82986337435926</v>
      </c>
      <c r="X96" s="198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200">
        <v>79.57562418689994</v>
      </c>
      <c r="S97" s="14">
        <v>55.56806103764687</v>
      </c>
      <c r="T97" s="201">
        <f t="shared" si="5"/>
        <v>62.4519993871229</v>
      </c>
      <c r="U97" s="201">
        <f t="shared" si="6"/>
        <v>507.11023502343795</v>
      </c>
      <c r="V97" s="201">
        <f t="shared" si="7"/>
        <v>477.13327531761894</v>
      </c>
      <c r="W97" s="201">
        <f t="shared" si="8"/>
        <v>339.11435667207735</v>
      </c>
      <c r="X97" s="198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200">
        <v>80.35208410097502</v>
      </c>
      <c r="S98" s="14">
        <v>56.109869334386886</v>
      </c>
      <c r="T98" s="201">
        <f t="shared" si="5"/>
        <v>63.05629957370445</v>
      </c>
      <c r="U98" s="201">
        <f t="shared" si="6"/>
        <v>512.0171525384801</v>
      </c>
      <c r="V98" s="201">
        <f t="shared" si="7"/>
        <v>481.750128743102</v>
      </c>
      <c r="W98" s="201">
        <f t="shared" si="8"/>
        <v>342.39570668521515</v>
      </c>
      <c r="X98" s="198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200">
        <v>81.12842549270984</v>
      </c>
      <c r="S99" s="14">
        <v>56.65158327749498</v>
      </c>
      <c r="T99" s="201">
        <f t="shared" si="5"/>
        <v>63.66002752543034</v>
      </c>
      <c r="U99" s="201">
        <f t="shared" si="6"/>
        <v>516.9194235064942</v>
      </c>
      <c r="V99" s="201">
        <f t="shared" si="7"/>
        <v>486.3626102942878</v>
      </c>
      <c r="W99" s="201">
        <f t="shared" si="8"/>
        <v>345.67394946308673</v>
      </c>
      <c r="X99" s="198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200">
        <v>81.90464987000588</v>
      </c>
      <c r="S100" s="14">
        <v>57.19320405431526</v>
      </c>
      <c r="T100" s="201">
        <f t="shared" si="5"/>
        <v>64.26318973674194</v>
      </c>
      <c r="U100" s="201">
        <f t="shared" si="6"/>
        <v>521.8171006623445</v>
      </c>
      <c r="V100" s="201">
        <f t="shared" si="7"/>
        <v>490.9707695887084</v>
      </c>
      <c r="W100" s="201">
        <f t="shared" si="8"/>
        <v>348.9491202705087</v>
      </c>
      <c r="X100" s="198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200">
        <v>82.68075870305438</v>
      </c>
      <c r="S101" s="14">
        <v>57.73473282298292</v>
      </c>
      <c r="T101" s="201">
        <f t="shared" si="5"/>
        <v>64.86579256220634</v>
      </c>
      <c r="U101" s="201">
        <f t="shared" si="6"/>
        <v>526.7102356051154</v>
      </c>
      <c r="V101" s="201">
        <f t="shared" si="7"/>
        <v>495.5746551752564</v>
      </c>
      <c r="W101" s="201">
        <f t="shared" si="8"/>
        <v>352.2212536127804</v>
      </c>
      <c r="X101" s="198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200">
        <v>83.45675342577141</v>
      </c>
      <c r="S102" s="14">
        <v>58.276170713514595</v>
      </c>
      <c r="T102" s="201">
        <f t="shared" si="5"/>
        <v>65.4678422209248</v>
      </c>
      <c r="U102" s="201">
        <f t="shared" si="6"/>
        <v>531.5988788339092</v>
      </c>
      <c r="V102" s="201">
        <f t="shared" si="7"/>
        <v>500.1743145678654</v>
      </c>
      <c r="W102" s="201">
        <f t="shared" si="8"/>
        <v>355.49038325962164</v>
      </c>
      <c r="X102" s="198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200">
        <v>84.2326354371567</v>
      </c>
      <c r="S103" s="14">
        <v>58.81751882884211</v>
      </c>
      <c r="T103" s="201">
        <f t="shared" si="5"/>
        <v>66.06934480075962</v>
      </c>
      <c r="U103" s="201">
        <f t="shared" si="6"/>
        <v>536.483079782168</v>
      </c>
      <c r="V103" s="201">
        <f t="shared" si="7"/>
        <v>504.7697942778035</v>
      </c>
      <c r="W103" s="201">
        <f t="shared" si="8"/>
        <v>358.75654226812475</v>
      </c>
      <c r="X103" s="198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200">
        <v>122.90664053598226</v>
      </c>
      <c r="S104" s="14">
        <v>85.78913840500947</v>
      </c>
      <c r="T104" s="201">
        <f t="shared" si="5"/>
        <v>95.5527181439035</v>
      </c>
      <c r="U104" s="201">
        <f t="shared" si="6"/>
        <v>775.8880713284964</v>
      </c>
      <c r="V104" s="201">
        <f t="shared" si="7"/>
        <v>730.0227666194228</v>
      </c>
      <c r="W104" s="201">
        <f t="shared" si="8"/>
        <v>518.8512595213961</v>
      </c>
      <c r="X104" s="198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200">
        <v>161.40365692597558</v>
      </c>
      <c r="S105" s="14">
        <v>112.61939538734573</v>
      </c>
      <c r="T105" s="201">
        <f t="shared" si="5"/>
        <v>124.14730493195626</v>
      </c>
      <c r="U105" s="201">
        <f t="shared" si="6"/>
        <v>1008.0761160474847</v>
      </c>
      <c r="V105" s="201">
        <f t="shared" si="7"/>
        <v>948.4854096801457</v>
      </c>
      <c r="W105" s="201">
        <f t="shared" si="8"/>
        <v>674.1198657805224</v>
      </c>
      <c r="X105" s="198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200">
        <v>199.7748925531053</v>
      </c>
      <c r="S106" s="14">
        <v>139.34909393187425</v>
      </c>
      <c r="T106" s="201">
        <f t="shared" si="5"/>
        <v>152.0986669998285</v>
      </c>
      <c r="U106" s="201">
        <f t="shared" si="6"/>
        <v>1235.0411760386073</v>
      </c>
      <c r="V106" s="201">
        <f t="shared" si="7"/>
        <v>1162.0338158786897</v>
      </c>
      <c r="W106" s="201">
        <f t="shared" si="8"/>
        <v>825.8957618090687</v>
      </c>
      <c r="X106" s="198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200">
        <v>238.04901635621272</v>
      </c>
      <c r="S107" s="14">
        <v>166.0011290827703</v>
      </c>
      <c r="T107" s="201">
        <f t="shared" si="5"/>
        <v>179.54790489086352</v>
      </c>
      <c r="U107" s="201">
        <f t="shared" si="6"/>
        <v>1457.9289877138117</v>
      </c>
      <c r="V107" s="201">
        <f t="shared" si="7"/>
        <v>1371.7459933661974</v>
      </c>
      <c r="W107" s="201">
        <f t="shared" si="8"/>
        <v>974.9451235573889</v>
      </c>
      <c r="X107" s="198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200">
        <v>276.2443600274384</v>
      </c>
      <c r="S108" s="14">
        <v>192.59015243946592</v>
      </c>
      <c r="T108" s="201">
        <f t="shared" si="5"/>
        <v>206.5864916722183</v>
      </c>
      <c r="U108" s="201">
        <f t="shared" si="6"/>
        <v>1677.4823123784124</v>
      </c>
      <c r="V108" s="201">
        <f t="shared" si="7"/>
        <v>1578.3207963757477</v>
      </c>
      <c r="W108" s="201">
        <f t="shared" si="8"/>
        <v>1121.7646497801454</v>
      </c>
      <c r="X108" s="198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dcterms:created xsi:type="dcterms:W3CDTF">2018-08-22T16:08:20Z</dcterms:created>
  <dcterms:modified xsi:type="dcterms:W3CDTF">2019-05-16T16:20:49Z</dcterms:modified>
  <cp:category/>
  <cp:version/>
  <cp:contentType/>
  <cp:contentStatus/>
</cp:coreProperties>
</file>